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5" windowWidth="25440" windowHeight="6375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0-2022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ИСТОЧНИКИ'!$C$1:$F$137</definedName>
    <definedName name="_xlnm.Print_Area" localSheetId="3">'Прогноз СЭР 2020-2022'!$A$1:$P$107</definedName>
  </definedNames>
  <calcPr calcId="162913"/>
</workbook>
</file>

<file path=xl/calcChain.xml><?xml version="1.0" encoding="utf-8"?>
<calcChain xmlns="http://schemas.openxmlformats.org/spreadsheetml/2006/main">
  <c r="F122" i="4" l="1"/>
  <c r="F67" i="4"/>
  <c r="F64" i="4" s="1"/>
  <c r="F28" i="4"/>
  <c r="E28" i="4" l="1"/>
  <c r="D110" i="4" l="1"/>
  <c r="D104" i="4"/>
  <c r="D21" i="4"/>
  <c r="D55" i="4"/>
  <c r="D50" i="4" s="1"/>
  <c r="E12" i="4" l="1"/>
  <c r="E5" i="4" l="1"/>
  <c r="E4" i="4" l="1"/>
  <c r="F55" i="4" l="1"/>
  <c r="E21" i="4"/>
  <c r="E55" i="4"/>
  <c r="C7" i="6" l="1"/>
  <c r="C10" i="6"/>
  <c r="C12" i="6"/>
  <c r="C15" i="6"/>
  <c r="C18" i="6"/>
  <c r="C27" i="6"/>
  <c r="C30" i="6"/>
  <c r="C33" i="6"/>
  <c r="C47" i="6"/>
  <c r="C45" i="6"/>
  <c r="C43" i="6"/>
  <c r="C40" i="6"/>
  <c r="D40" i="6"/>
  <c r="C23" i="6"/>
  <c r="D23" i="6"/>
  <c r="C37" i="6"/>
  <c r="D37" i="6"/>
  <c r="C5" i="6" l="1"/>
  <c r="C32" i="6"/>
  <c r="D7" i="6"/>
  <c r="D47" i="6"/>
  <c r="D45" i="6"/>
  <c r="D43" i="6"/>
  <c r="D33" i="6"/>
  <c r="D30" i="6"/>
  <c r="D27" i="6"/>
  <c r="D18" i="6"/>
  <c r="D15" i="6"/>
  <c r="D12" i="6"/>
  <c r="D10" i="6"/>
  <c r="C4" i="6" l="1"/>
  <c r="D32" i="6"/>
  <c r="D5" i="6"/>
  <c r="D133" i="4"/>
  <c r="D4" i="6" l="1"/>
  <c r="D119" i="4"/>
  <c r="E119" i="4"/>
  <c r="D114" i="4"/>
  <c r="D81" i="4"/>
  <c r="D90" i="4"/>
  <c r="D95" i="4"/>
  <c r="D99" i="4"/>
  <c r="D112" i="4"/>
  <c r="F21" i="4"/>
  <c r="D19" i="4"/>
  <c r="D18" i="4" s="1"/>
  <c r="K13" i="24" l="1"/>
  <c r="J13" i="24"/>
  <c r="I13" i="24"/>
  <c r="H13" i="24"/>
  <c r="G13" i="24"/>
  <c r="F13" i="24"/>
  <c r="E13" i="24"/>
  <c r="D13" i="24"/>
  <c r="C13" i="24"/>
  <c r="B13" i="24"/>
  <c r="E13" i="23"/>
  <c r="D13" i="23"/>
  <c r="C13" i="23"/>
  <c r="H14" i="22"/>
  <c r="G14" i="22"/>
  <c r="F14" i="22"/>
  <c r="E14" i="22"/>
  <c r="D14" i="22"/>
  <c r="H10" i="22"/>
  <c r="G10" i="22"/>
  <c r="F10" i="22"/>
  <c r="E10" i="22"/>
  <c r="D10" i="22"/>
  <c r="J123" i="21"/>
  <c r="J122" i="21"/>
  <c r="V107" i="21"/>
  <c r="C107" i="21"/>
  <c r="E105" i="21"/>
  <c r="C105" i="21"/>
  <c r="AA104" i="21"/>
  <c r="AA105" i="21" s="1"/>
  <c r="Z104" i="21"/>
  <c r="Z105" i="21" s="1"/>
  <c r="Y104" i="21"/>
  <c r="Y105" i="21" s="1"/>
  <c r="X104" i="21"/>
  <c r="X105" i="21" s="1"/>
  <c r="W104" i="21"/>
  <c r="W105" i="21" s="1"/>
  <c r="W107" i="21" s="1"/>
  <c r="V104" i="21"/>
  <c r="V105" i="21" s="1"/>
  <c r="U104" i="21"/>
  <c r="U105" i="21" s="1"/>
  <c r="T104" i="21"/>
  <c r="T105" i="21" s="1"/>
  <c r="I104" i="21"/>
  <c r="H104" i="21"/>
  <c r="D104" i="21"/>
  <c r="C104" i="21"/>
  <c r="H103" i="21"/>
  <c r="G103" i="21"/>
  <c r="F103" i="21"/>
  <c r="E103" i="21"/>
  <c r="C103" i="21"/>
  <c r="H102" i="21"/>
  <c r="G102" i="21"/>
  <c r="F102" i="21"/>
  <c r="E102" i="21"/>
  <c r="C102" i="21"/>
  <c r="I101" i="21"/>
  <c r="H101" i="21"/>
  <c r="G101" i="21"/>
  <c r="F101" i="21"/>
  <c r="E101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D98" i="21"/>
  <c r="P95" i="21"/>
  <c r="O95" i="21"/>
  <c r="N95" i="21"/>
  <c r="M95" i="21"/>
  <c r="L95" i="21"/>
  <c r="K95" i="21"/>
  <c r="J95" i="21"/>
  <c r="I95" i="21"/>
  <c r="H95" i="21"/>
  <c r="G95" i="21"/>
  <c r="F95" i="21"/>
  <c r="P94" i="21"/>
  <c r="O94" i="21"/>
  <c r="N94" i="21"/>
  <c r="M94" i="21"/>
  <c r="L94" i="21"/>
  <c r="K94" i="21"/>
  <c r="J94" i="21"/>
  <c r="I94" i="21"/>
  <c r="H94" i="21"/>
  <c r="G94" i="21"/>
  <c r="F94" i="21"/>
  <c r="P93" i="21"/>
  <c r="O93" i="21"/>
  <c r="N93" i="21"/>
  <c r="M93" i="21"/>
  <c r="L93" i="21"/>
  <c r="K93" i="21"/>
  <c r="J93" i="21"/>
  <c r="I93" i="21"/>
  <c r="H93" i="21"/>
  <c r="G93" i="21"/>
  <c r="F93" i="21"/>
  <c r="E93" i="21"/>
  <c r="P92" i="21"/>
  <c r="O92" i="21"/>
  <c r="N92" i="21"/>
  <c r="M92" i="21"/>
  <c r="L92" i="21"/>
  <c r="K92" i="21"/>
  <c r="J92" i="21"/>
  <c r="I92" i="21"/>
  <c r="H92" i="21"/>
  <c r="G92" i="21"/>
  <c r="F92" i="21"/>
  <c r="E92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P89" i="21"/>
  <c r="O89" i="21"/>
  <c r="N89" i="21"/>
  <c r="M89" i="21"/>
  <c r="L89" i="21"/>
  <c r="K89" i="21"/>
  <c r="J89" i="21"/>
  <c r="I89" i="21"/>
  <c r="H89" i="21"/>
  <c r="G89" i="21"/>
  <c r="F89" i="21"/>
  <c r="N86" i="21"/>
  <c r="M86" i="21"/>
  <c r="L86" i="21"/>
  <c r="K86" i="21"/>
  <c r="J86" i="21"/>
  <c r="I86" i="21"/>
  <c r="H86" i="21"/>
  <c r="G86" i="21"/>
  <c r="E86" i="21"/>
  <c r="H84" i="21"/>
  <c r="G84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F78" i="21"/>
  <c r="L77" i="21"/>
  <c r="L76" i="21" s="1"/>
  <c r="L73" i="21" s="1"/>
  <c r="E77" i="21"/>
  <c r="E76" i="21" s="1"/>
  <c r="P76" i="21"/>
  <c r="P73" i="21" s="1"/>
  <c r="O76" i="21"/>
  <c r="O73" i="21" s="1"/>
  <c r="N76" i="21"/>
  <c r="N73" i="21" s="1"/>
  <c r="M76" i="21"/>
  <c r="M73" i="21" s="1"/>
  <c r="K76" i="21"/>
  <c r="J76" i="21"/>
  <c r="I76" i="21"/>
  <c r="H76" i="21"/>
  <c r="G76" i="21"/>
  <c r="F76" i="21"/>
  <c r="C76" i="21"/>
  <c r="S75" i="21"/>
  <c r="R75" i="21"/>
  <c r="Q75" i="21"/>
  <c r="K75" i="21"/>
  <c r="J75" i="21"/>
  <c r="I75" i="21"/>
  <c r="H75" i="21"/>
  <c r="G75" i="21"/>
  <c r="F75" i="21"/>
  <c r="E75" i="21"/>
  <c r="D75" i="21"/>
  <c r="D73" i="21" s="1"/>
  <c r="C75" i="21"/>
  <c r="C73" i="21" s="1"/>
  <c r="T72" i="21"/>
  <c r="C71" i="21"/>
  <c r="G70" i="21"/>
  <c r="F70" i="21"/>
  <c r="C70" i="21"/>
  <c r="F68" i="21"/>
  <c r="E68" i="21"/>
  <c r="C68" i="21"/>
  <c r="K65" i="21"/>
  <c r="J65" i="21"/>
  <c r="I65" i="21"/>
  <c r="H65" i="21"/>
  <c r="G65" i="21"/>
  <c r="F65" i="21"/>
  <c r="E65" i="21"/>
  <c r="D65" i="21"/>
  <c r="D62" i="21" s="1"/>
  <c r="C65" i="21"/>
  <c r="G64" i="21"/>
  <c r="F64" i="21"/>
  <c r="C64" i="21"/>
  <c r="G63" i="21"/>
  <c r="F63" i="21"/>
  <c r="E63" i="21"/>
  <c r="E62" i="21" s="1"/>
  <c r="C63" i="21"/>
  <c r="K62" i="21"/>
  <c r="J62" i="21"/>
  <c r="I62" i="21"/>
  <c r="H62" i="21"/>
  <c r="M60" i="21"/>
  <c r="I60" i="21"/>
  <c r="L58" i="21"/>
  <c r="K46" i="21"/>
  <c r="J46" i="21"/>
  <c r="I46" i="21"/>
  <c r="H46" i="21"/>
  <c r="G46" i="21"/>
  <c r="F46" i="21"/>
  <c r="E46" i="21"/>
  <c r="K39" i="21"/>
  <c r="J39" i="21"/>
  <c r="I39" i="21"/>
  <c r="P38" i="21"/>
  <c r="O38" i="21"/>
  <c r="N38" i="21"/>
  <c r="M38" i="21"/>
  <c r="L38" i="21"/>
  <c r="G38" i="21"/>
  <c r="F38" i="21"/>
  <c r="E38" i="21"/>
  <c r="E39" i="21" s="1"/>
  <c r="C38" i="21"/>
  <c r="D39" i="21" s="1"/>
  <c r="P33" i="21"/>
  <c r="O33" i="21"/>
  <c r="N33" i="21"/>
  <c r="L33" i="21"/>
  <c r="K33" i="21"/>
  <c r="J33" i="21"/>
  <c r="I33" i="21"/>
  <c r="G33" i="21"/>
  <c r="P32" i="21"/>
  <c r="O32" i="21"/>
  <c r="N32" i="21"/>
  <c r="M32" i="21"/>
  <c r="L32" i="21"/>
  <c r="K32" i="21"/>
  <c r="J32" i="21"/>
  <c r="I32" i="21"/>
  <c r="H32" i="21"/>
  <c r="G32" i="21"/>
  <c r="F32" i="21"/>
  <c r="D31" i="21"/>
  <c r="C31" i="21"/>
  <c r="N30" i="21"/>
  <c r="M30" i="21"/>
  <c r="L30" i="21"/>
  <c r="K30" i="21"/>
  <c r="J30" i="21"/>
  <c r="I30" i="21"/>
  <c r="P29" i="21"/>
  <c r="O29" i="21"/>
  <c r="G29" i="21"/>
  <c r="H30" i="21" s="1"/>
  <c r="F29" i="21"/>
  <c r="F26" i="21" s="1"/>
  <c r="E29" i="21"/>
  <c r="D29" i="21"/>
  <c r="C29" i="21"/>
  <c r="P26" i="21"/>
  <c r="N26" i="21"/>
  <c r="M26" i="21"/>
  <c r="L26" i="21"/>
  <c r="K26" i="21"/>
  <c r="J26" i="21"/>
  <c r="J27" i="21" s="1"/>
  <c r="I26" i="21"/>
  <c r="H26" i="21"/>
  <c r="E26" i="21"/>
  <c r="H24" i="21"/>
  <c r="G24" i="21"/>
  <c r="F24" i="21"/>
  <c r="C24" i="21"/>
  <c r="H23" i="21"/>
  <c r="G23" i="21"/>
  <c r="F23" i="21"/>
  <c r="C23" i="21"/>
  <c r="H22" i="21"/>
  <c r="G22" i="21"/>
  <c r="F22" i="21"/>
  <c r="C22" i="21"/>
  <c r="H20" i="21"/>
  <c r="G20" i="21"/>
  <c r="F20" i="21"/>
  <c r="P18" i="21"/>
  <c r="J18" i="21"/>
  <c r="N17" i="21"/>
  <c r="O18" i="21" s="1"/>
  <c r="M17" i="21"/>
  <c r="L17" i="21"/>
  <c r="K17" i="21"/>
  <c r="K18" i="21" s="1"/>
  <c r="H17" i="21"/>
  <c r="G17" i="21"/>
  <c r="F17" i="21"/>
  <c r="E17" i="21"/>
  <c r="C17" i="21"/>
  <c r="D18" i="21" s="1"/>
  <c r="P13" i="21"/>
  <c r="O13" i="21"/>
  <c r="N13" i="21"/>
  <c r="M13" i="21"/>
  <c r="L13" i="21"/>
  <c r="K13" i="21"/>
  <c r="J13" i="21"/>
  <c r="I13" i="21"/>
  <c r="H13" i="21"/>
  <c r="G13" i="21"/>
  <c r="F13" i="21"/>
  <c r="E13" i="21"/>
  <c r="E14" i="21" s="1"/>
  <c r="C13" i="21"/>
  <c r="D14" i="21" s="1"/>
  <c r="P10" i="21"/>
  <c r="O10" i="21"/>
  <c r="N10" i="21"/>
  <c r="M10" i="21"/>
  <c r="L10" i="21"/>
  <c r="K10" i="21"/>
  <c r="I10" i="21"/>
  <c r="H10" i="21"/>
  <c r="G10" i="21"/>
  <c r="F10" i="21"/>
  <c r="E10" i="21"/>
  <c r="D10" i="21"/>
  <c r="P9" i="21"/>
  <c r="O9" i="21"/>
  <c r="N9" i="21"/>
  <c r="M9" i="21"/>
  <c r="L9" i="21"/>
  <c r="I9" i="21"/>
  <c r="H9" i="21"/>
  <c r="G9" i="21"/>
  <c r="F9" i="21"/>
  <c r="E9" i="21"/>
  <c r="J8" i="21"/>
  <c r="J10" i="21" s="1"/>
  <c r="C8" i="21"/>
  <c r="C10" i="21" s="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R6" i="21"/>
  <c r="R7" i="21" s="1"/>
  <c r="G73" i="21" l="1"/>
  <c r="K73" i="21"/>
  <c r="I73" i="21"/>
  <c r="C9" i="21"/>
  <c r="H18" i="21"/>
  <c r="G18" i="21"/>
  <c r="G26" i="21"/>
  <c r="E73" i="21"/>
  <c r="F14" i="21"/>
  <c r="J14" i="21"/>
  <c r="N14" i="21"/>
  <c r="F18" i="21"/>
  <c r="F62" i="21"/>
  <c r="N27" i="21"/>
  <c r="G62" i="21"/>
  <c r="N18" i="21"/>
  <c r="D30" i="21"/>
  <c r="P30" i="21"/>
  <c r="C26" i="21"/>
  <c r="G39" i="21"/>
  <c r="O39" i="21"/>
  <c r="C62" i="21"/>
  <c r="R73" i="21"/>
  <c r="F27" i="21"/>
  <c r="F30" i="21"/>
  <c r="H39" i="21"/>
  <c r="H14" i="21"/>
  <c r="L14" i="21"/>
  <c r="P14" i="21"/>
  <c r="H27" i="21"/>
  <c r="L27" i="21"/>
  <c r="O26" i="21"/>
  <c r="P27" i="21" s="1"/>
  <c r="M39" i="21"/>
  <c r="P39" i="21"/>
  <c r="F73" i="21"/>
  <c r="J73" i="21"/>
  <c r="T75" i="21"/>
  <c r="D9" i="21"/>
  <c r="I14" i="21"/>
  <c r="M14" i="21"/>
  <c r="I27" i="21"/>
  <c r="M27" i="21"/>
  <c r="E30" i="21"/>
  <c r="F39" i="21"/>
  <c r="N39" i="21"/>
  <c r="H73" i="21"/>
  <c r="R72" i="21"/>
  <c r="L18" i="21"/>
  <c r="K9" i="21"/>
  <c r="G14" i="21"/>
  <c r="K14" i="21"/>
  <c r="O14" i="21"/>
  <c r="E18" i="21"/>
  <c r="I18" i="21"/>
  <c r="M18" i="21"/>
  <c r="D26" i="21"/>
  <c r="D27" i="21" s="1"/>
  <c r="G27" i="21"/>
  <c r="K27" i="21"/>
  <c r="G30" i="21"/>
  <c r="O30" i="21"/>
  <c r="L39" i="21"/>
  <c r="J9" i="21"/>
  <c r="O27" i="21" l="1"/>
  <c r="E27" i="21"/>
  <c r="E130" i="4" l="1"/>
  <c r="F81" i="4" l="1"/>
  <c r="F112" i="4"/>
  <c r="E112" i="4"/>
  <c r="F12" i="4" l="1"/>
  <c r="D12" i="4"/>
  <c r="E50" i="4"/>
  <c r="F50" i="4"/>
  <c r="F19" i="4" s="1"/>
  <c r="F18" i="4" s="1"/>
  <c r="F130" i="4"/>
  <c r="D130" i="4"/>
  <c r="F119" i="4"/>
  <c r="F114" i="4"/>
  <c r="E114" i="4"/>
  <c r="F110" i="4"/>
  <c r="E110" i="4"/>
  <c r="F104" i="4"/>
  <c r="E104" i="4"/>
  <c r="F99" i="4"/>
  <c r="E99" i="4"/>
  <c r="F95" i="4"/>
  <c r="E95" i="4"/>
  <c r="F90" i="4"/>
  <c r="E90" i="4"/>
  <c r="E81" i="4"/>
  <c r="F5" i="4"/>
  <c r="D5" i="4"/>
  <c r="C49" i="6"/>
  <c r="E133" i="4"/>
  <c r="F133" i="4"/>
  <c r="F124" i="4" l="1"/>
  <c r="E19" i="4"/>
  <c r="E18" i="4" s="1"/>
  <c r="F4" i="4"/>
  <c r="F76" i="4" s="1"/>
  <c r="D124" i="4"/>
  <c r="D4" i="4"/>
  <c r="E124" i="4"/>
  <c r="E129" i="4"/>
  <c r="D129" i="4"/>
  <c r="F129" i="4"/>
  <c r="E76" i="4" l="1"/>
  <c r="D76" i="4"/>
</calcChain>
</file>

<file path=xl/sharedStrings.xml><?xml version="1.0" encoding="utf-8"?>
<sst xmlns="http://schemas.openxmlformats.org/spreadsheetml/2006/main" count="787" uniqueCount="569">
  <si>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</si>
  <si>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</si>
  <si>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</si>
  <si>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</si>
  <si>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</si>
  <si>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</si>
  <si>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</si>
  <si>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</si>
  <si>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</si>
  <si>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</si>
  <si>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</si>
  <si>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</si>
  <si>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</si>
  <si>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</si>
  <si>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</si>
  <si>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</si>
  <si>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</si>
  <si>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</si>
  <si>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</si>
  <si>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</si>
  <si>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</si>
  <si>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</si>
  <si>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</si>
  <si>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</si>
  <si>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</si>
  <si>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</si>
  <si>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</si>
  <si>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</si>
  <si>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</si>
  <si>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</si>
  <si>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</si>
  <si>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</si>
  <si>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</si>
  <si>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</si>
  <si>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</si>
  <si>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</si>
  <si>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</si>
  <si>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</si>
  <si>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</si>
  <si>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</si>
  <si>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</si>
  <si>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</si>
  <si>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</si>
  <si>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</si>
  <si>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</si>
  <si>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</si>
  <si>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</si>
  <si>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</si>
  <si>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</si>
  <si>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</si>
  <si>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</si>
  <si>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</si>
  <si>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</si>
  <si>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</si>
  <si>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</si>
  <si>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</si>
  <si>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</si>
  <si>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</si>
  <si>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</si>
  <si>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</si>
  <si>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</si>
  <si>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</si>
  <si>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</si>
  <si>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</si>
  <si>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</si>
  <si>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</si>
  <si>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</si>
  <si>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</si>
  <si>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</si>
  <si>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</si>
  <si>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</si>
  <si>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</si>
  <si>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</si>
  <si>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</si>
  <si>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</si>
  <si>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</si>
  <si>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</si>
  <si>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</si>
  <si>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</si>
  <si>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</si>
  <si>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</si>
  <si>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</si>
  <si>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</si>
  <si>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</si>
  <si>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</si>
  <si>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</si>
  <si>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</si>
  <si>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</si>
  <si>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</si>
  <si>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</si>
  <si>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</si>
  <si>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</si>
  <si>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</si>
  <si>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</si>
  <si>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</si>
  <si>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</si>
  <si>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</si>
  <si>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</si>
  <si>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</si>
  <si>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</si>
  <si>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</si>
  <si>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</si>
  <si>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</si>
  <si>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</si>
  <si>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</si>
  <si>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</si>
  <si>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</si>
  <si>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</si>
  <si>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</si>
  <si>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</si>
  <si>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</si>
  <si>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</si>
  <si>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</si>
  <si>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</si>
  <si>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</si>
  <si>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</si>
  <si>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</si>
  <si>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</si>
  <si>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</si>
  <si>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</si>
  <si>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</si>
  <si>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</si>
  <si>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</si>
  <si>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</si>
  <si>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</si>
  <si>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</si>
  <si>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</si>
  <si>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</si>
  <si>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</si>
  <si>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</si>
  <si>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</si>
  <si>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</si>
  <si>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</si>
  <si>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</si>
  <si>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</si>
  <si>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</si>
  <si>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</si>
  <si>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</si>
  <si>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</si>
  <si>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</si>
  <si>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</si>
  <si>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</si>
  <si>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</si>
  <si>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</si>
  <si>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</si>
  <si>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</si>
  <si>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</si>
  <si>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</si>
  <si>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</si>
  <si>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</si>
  <si>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</si>
  <si>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</si>
  <si>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</si>
  <si>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</si>
  <si>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</si>
  <si>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</si>
  <si>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</si>
  <si>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</si>
  <si>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</si>
  <si>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</si>
  <si>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</si>
  <si>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</si>
  <si>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</si>
  <si>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</si>
  <si>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</si>
  <si>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</si>
  <si>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</si>
  <si>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</si>
  <si>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</si>
  <si>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</si>
  <si>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</si>
  <si>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</si>
  <si>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</si>
  <si>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</si>
  <si>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</si>
  <si>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</si>
  <si>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</si>
  <si>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</si>
  <si>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</si>
  <si>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</si>
  <si>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</si>
  <si>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</si>
  <si>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</si>
  <si>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</si>
  <si>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</si>
  <si>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</si>
  <si>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</si>
  <si>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</si>
  <si>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</si>
  <si>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</si>
  <si>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</si>
  <si>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</si>
  <si>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</si>
  <si>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</si>
  <si>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</si>
  <si>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</si>
  <si>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</si>
  <si>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</si>
  <si>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</si>
  <si>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</si>
  <si>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</si>
  <si>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</si>
  <si>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</si>
  <si>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</si>
  <si>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</si>
  <si>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</si>
  <si>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</si>
  <si>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</si>
  <si>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</si>
  <si>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</si>
  <si>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</si>
  <si>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</si>
  <si>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</si>
  <si>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</si>
  <si>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</si>
  <si>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</si>
  <si>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</si>
  <si>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</si>
  <si>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</si>
  <si>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</si>
  <si>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</si>
  <si>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</si>
  <si>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</si>
  <si>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</si>
  <si>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</si>
  <si>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</si>
  <si>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</si>
  <si>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</si>
  <si>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</si>
  <si>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</si>
  <si>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</si>
  <si>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</si>
  <si>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</si>
  <si>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</si>
  <si>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</si>
  <si>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</si>
  <si>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</si>
  <si>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</si>
  <si>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</si>
  <si>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</si>
  <si>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</si>
  <si>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</si>
  <si>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</si>
  <si>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</si>
  <si>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</si>
  <si>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</si>
  <si>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</si>
  <si>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</si>
  <si>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</si>
  <si>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</si>
  <si>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</si>
  <si>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</si>
  <si>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</si>
  <si>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</si>
  <si>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</si>
  <si>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</si>
  <si>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</si>
  <si>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</si>
  <si>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</si>
  <si>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</si>
  <si>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</si>
  <si>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</si>
  <si>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</si>
  <si>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</si>
  <si>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</si>
  <si>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</si>
  <si>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</si>
  <si>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</si>
  <si>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</si>
  <si>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</si>
  <si>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</si>
  <si>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</si>
  <si>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</si>
  <si>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</si>
  <si>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</si>
  <si>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</si>
  <si>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</si>
  <si>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</si>
  <si>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</si>
  <si>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</si>
  <si>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</si>
  <si>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</si>
  <si>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</si>
  <si>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</si>
  <si>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</si>
  <si>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</si>
  <si>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</si>
  <si>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</si>
  <si>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</si>
  <si>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</si>
  <si>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</si>
  <si>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</si>
  <si>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</si>
  <si>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</si>
  <si>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</si>
  <si>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</si>
  <si>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</si>
  <si>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</si>
  <si>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</si>
  <si>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</si>
  <si>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</si>
  <si>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</si>
  <si>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</si>
  <si>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</si>
  <si>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</si>
  <si>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</si>
  <si>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</si>
  <si>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</si>
  <si>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</si>
  <si>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</si>
  <si>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</si>
  <si>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</si>
  <si>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</si>
  <si>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</si>
  <si>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</si>
  <si>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</si>
  <si>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</si>
  <si>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</si>
  <si>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</si>
  <si>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</si>
  <si>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</si>
  <si>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</si>
  <si>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</si>
  <si>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</si>
  <si>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</si>
  <si>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</si>
  <si>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</si>
  <si>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</si>
  <si>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</si>
  <si>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</si>
  <si>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</si>
  <si>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</si>
  <si>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</si>
  <si>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</si>
  <si>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</si>
  <si>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</si>
  <si>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</si>
  <si>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</si>
  <si>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</si>
  <si>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</si>
  <si>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</si>
  <si>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</si>
  <si>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</si>
  <si>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</si>
  <si>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</si>
  <si>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</si>
  <si>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</si>
  <si>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</si>
  <si>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</si>
  <si>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</si>
  <si>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</si>
  <si>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</si>
  <si>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</si>
  <si>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</si>
  <si>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</si>
  <si>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</si>
  <si>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</si>
  <si>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</si>
  <si>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</si>
  <si>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</si>
  <si>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</si>
  <si>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</si>
  <si>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</si>
  <si>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</si>
  <si>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</si>
  <si>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</si>
  <si>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</si>
  <si>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</si>
  <si>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</si>
  <si>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</si>
  <si>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</si>
  <si>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</si>
  <si>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</si>
  <si>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</si>
  <si>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</si>
  <si>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</si>
  <si>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</si>
  <si>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</si>
  <si>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</si>
  <si>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</si>
  <si>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</si>
  <si>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</si>
  <si>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</si>
  <si>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</si>
  <si>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</si>
  <si>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</si>
  <si>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</si>
  <si>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</si>
  <si>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</si>
  <si>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</si>
  <si>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</si>
  <si>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</si>
  <si>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</si>
  <si>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</si>
  <si>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</si>
  <si>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</si>
  <si>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</si>
  <si>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</si>
  <si>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</si>
  <si>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</si>
  <si>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</si>
  <si>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</si>
  <si>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</si>
  <si>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</si>
  <si>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</si>
  <si>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</si>
  <si>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</si>
  <si>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</si>
  <si>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</si>
  <si>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</si>
  <si>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</si>
  <si>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</si>
  <si>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</si>
  <si>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</si>
  <si>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</si>
  <si>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</si>
  <si>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</si>
  <si>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</si>
  <si>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</si>
  <si>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</si>
  <si>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</si>
  <si>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</si>
  <si>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</si>
  <si>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</si>
  <si>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</si>
  <si>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</si>
  <si>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</si>
  <si>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</si>
  <si>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</si>
  <si>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</si>
  <si>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</si>
  <si>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</si>
  <si>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</si>
  <si>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</si>
  <si>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</si>
  <si>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</si>
  <si>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</si>
  <si>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</si>
  <si>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</si>
  <si>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</si>
  <si>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</si>
  <si>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</si>
  <si>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</si>
  <si>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</si>
  <si>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</si>
  <si>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</si>
  <si>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</si>
  <si>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</si>
  <si>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</si>
  <si>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</si>
  <si>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</si>
  <si>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</si>
  <si>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</si>
  <si>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</si>
  <si>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</si>
  <si>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</si>
  <si>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</si>
  <si>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</si>
  <si>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</si>
  <si>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</si>
  <si>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</si>
  <si>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</si>
  <si>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</si>
  <si>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</si>
  <si>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</si>
  <si>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</si>
  <si>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</si>
  <si>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</si>
  <si>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</si>
  <si>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</si>
  <si>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</si>
  <si>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</si>
  <si>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</si>
  <si>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</si>
  <si>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</si>
  <si>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</si>
  <si>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</si>
  <si>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</si>
  <si>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</si>
  <si>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</si>
  <si>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</si>
  <si>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</si>
  <si>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</si>
  <si>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</si>
  <si>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</si>
  <si>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</si>
  <si>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</si>
  <si>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</si>
  <si>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</si>
  <si>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</si>
  <si>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</si>
  <si>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</si>
  <si>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</si>
  <si>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</si>
  <si>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</si>
  <si>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</si>
  <si>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</si>
  <si>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</si>
  <si>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</si>
  <si>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</si>
  <si>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</si>
  <si>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</si>
  <si>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</si>
  <si>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</si>
  <si>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</si>
  <si>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</si>
  <si>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</si>
  <si>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</si>
  <si>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</si>
  <si>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</si>
  <si>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</si>
  <si>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</si>
  <si>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</si>
  <si>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</si>
  <si>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</si>
  <si>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</si>
  <si>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</si>
  <si>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</si>
  <si>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</si>
  <si>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</si>
  <si>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</si>
  <si>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</si>
  <si>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</si>
  <si>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</si>
  <si>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</si>
  <si>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</si>
  <si>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</si>
  <si>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</si>
  <si>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</si>
  <si>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</si>
  <si>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</si>
  <si>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</si>
  <si>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</si>
  <si>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</si>
  <si>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</si>
  <si>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</si>
  <si>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</si>
  <si>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</si>
  <si>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</si>
  <si>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</si>
  <si>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</si>
  <si>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</si>
  <si>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</si>
  <si>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</si>
  <si>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</si>
  <si>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</si>
  <si>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с 9.00 до 18.45 (с 13.00 до 14.30 обеденный перерыв)</t>
  </si>
  <si>
    <t>с 9.00 до 17.30 (с 13.00 до 14.30 обеденный перерыв)</t>
  </si>
  <si>
    <t>e-mail: ufei@go-egvekinot.ru</t>
  </si>
  <si>
    <t>График работы Управления ФЭИ (на 2020 год)</t>
  </si>
  <si>
    <t>Фактическое исполнение за 2019 год</t>
  </si>
  <si>
    <t>План на 2020 год (по состоянию на 1 января)</t>
  </si>
  <si>
    <t>План на 2020 год с учетом изменений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</si>
  <si>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</si>
  <si>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</si>
  <si>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</si>
  <si>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План на 2020год (по состоянию на 1 января)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</si>
  <si>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2020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</si>
  <si>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</si>
  <si>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</si>
  <si>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</si>
  <si>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</si>
  <si>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</si>
  <si>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</si>
  <si>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</si>
  <si>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</si>
  <si>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</si>
  <si>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Прочие межбюджетные трансферты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</si>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</sst>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6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8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5" fillId="0" borderId="0" xfId="0" applyFont="1" applyAlignment="1">
      <alignment wrapText="1"/>
    </xf>
    <xf numFmtId="165" fontId="59" fillId="0" borderId="2" xfId="93" applyNumberFormat="1" applyFont="1" applyFill="1" applyBorder="1" applyAlignment="1">
      <alignment horizontal="right"/>
    </xf>
    <xf numFmtId="165" fontId="6" fillId="7" borderId="2" xfId="98" applyNumberFormat="1" applyFont="1" applyFill="1" applyBorder="1" applyAlignment="1">
      <alignment horizontal="right"/>
    </xf>
    <xf numFmtId="0" fontId="6" fillId="7" borderId="2" xfId="88" applyFont="1" applyFill="1" applyBorder="1" applyAlignment="1">
      <alignment vertical="top" wrapText="1"/>
    </xf>
    <xf numFmtId="165" fontId="59" fillId="7" borderId="2" xfId="93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>
      <alignment horizontal="right" wrapText="1"/>
    </xf>
    <xf numFmtId="0" fontId="5" fillId="0" borderId="2" xfId="71" applyFont="1" applyFill="1" applyBorder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/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14" sqref="J14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413" t="s">
        <v>209</v>
      </c>
      <c r="B1" s="413"/>
      <c r="C1" s="413"/>
      <c r="D1" s="413"/>
    </row>
    <row r="2" spans="1:4" s="31" customFormat="1" ht="18.75" x14ac:dyDescent="0.3">
      <c r="A2" s="415" t="s">
        <v>208</v>
      </c>
      <c r="B2" s="415"/>
      <c r="C2" s="415"/>
      <c r="D2" s="415"/>
    </row>
    <row r="3" spans="1:4" s="31" customFormat="1" ht="18.75" x14ac:dyDescent="0.3">
      <c r="A3" s="45"/>
      <c r="B3" s="45"/>
      <c r="C3" s="45"/>
      <c r="D3" s="45"/>
    </row>
    <row r="4" spans="1:4" s="31" customFormat="1" ht="18.75" x14ac:dyDescent="0.3">
      <c r="A4" s="416" t="s">
        <v>549</v>
      </c>
      <c r="B4" s="416"/>
      <c r="C4" s="416"/>
      <c r="D4" s="416"/>
    </row>
    <row r="5" spans="1:4" s="31" customFormat="1" ht="18.75" x14ac:dyDescent="0.3">
      <c r="A5" s="417" t="s">
        <v>193</v>
      </c>
      <c r="B5" s="417"/>
      <c r="C5" s="417" t="s">
        <v>546</v>
      </c>
      <c r="D5" s="417"/>
    </row>
    <row r="6" spans="1:4" s="31" customFormat="1" ht="18.75" x14ac:dyDescent="0.3">
      <c r="A6" s="417" t="s">
        <v>203</v>
      </c>
      <c r="B6" s="417"/>
      <c r="C6" s="417" t="s">
        <v>546</v>
      </c>
      <c r="D6" s="417"/>
    </row>
    <row r="7" spans="1:4" s="31" customFormat="1" ht="18.75" x14ac:dyDescent="0.3">
      <c r="A7" s="417" t="s">
        <v>204</v>
      </c>
      <c r="B7" s="417"/>
      <c r="C7" s="417" t="s">
        <v>546</v>
      </c>
      <c r="D7" s="417"/>
    </row>
    <row r="8" spans="1:4" s="31" customFormat="1" ht="18.75" x14ac:dyDescent="0.3">
      <c r="A8" s="417" t="s">
        <v>205</v>
      </c>
      <c r="B8" s="417"/>
      <c r="C8" s="417" t="s">
        <v>546</v>
      </c>
      <c r="D8" s="417"/>
    </row>
    <row r="9" spans="1:4" s="31" customFormat="1" ht="18.75" x14ac:dyDescent="0.3">
      <c r="A9" s="417" t="s">
        <v>194</v>
      </c>
      <c r="B9" s="417"/>
      <c r="C9" s="417" t="s">
        <v>547</v>
      </c>
      <c r="D9" s="417"/>
    </row>
    <row r="10" spans="1:4" s="31" customFormat="1" ht="18.75" x14ac:dyDescent="0.3">
      <c r="A10" s="417" t="s">
        <v>206</v>
      </c>
      <c r="B10" s="417"/>
      <c r="C10" s="417" t="s">
        <v>195</v>
      </c>
      <c r="D10" s="417"/>
    </row>
    <row r="11" spans="1:4" s="31" customFormat="1" ht="18.75" x14ac:dyDescent="0.3">
      <c r="A11" s="417" t="s">
        <v>207</v>
      </c>
      <c r="B11" s="417"/>
      <c r="C11" s="417" t="s">
        <v>195</v>
      </c>
      <c r="D11" s="417"/>
    </row>
    <row r="12" spans="1:4" s="31" customFormat="1" ht="18.75" x14ac:dyDescent="0.3">
      <c r="A12" s="415"/>
      <c r="B12" s="415"/>
      <c r="C12" s="44"/>
      <c r="D12" s="46"/>
    </row>
    <row r="13" spans="1:4" s="31" customFormat="1" ht="18.75" x14ac:dyDescent="0.3">
      <c r="A13" s="414" t="s">
        <v>198</v>
      </c>
      <c r="B13" s="414"/>
      <c r="C13" s="414"/>
      <c r="D13" s="414"/>
    </row>
    <row r="14" spans="1:4" s="31" customFormat="1" ht="37.5" x14ac:dyDescent="0.3">
      <c r="A14" s="43" t="s">
        <v>197</v>
      </c>
      <c r="B14" s="43" t="s">
        <v>199</v>
      </c>
      <c r="C14" s="47" t="s">
        <v>210</v>
      </c>
      <c r="D14" s="47" t="s">
        <v>196</v>
      </c>
    </row>
    <row r="15" spans="1:4" ht="18.75" x14ac:dyDescent="0.3">
      <c r="A15" s="43" t="s">
        <v>211</v>
      </c>
      <c r="B15" s="43" t="s">
        <v>200</v>
      </c>
      <c r="C15" s="419" t="s">
        <v>548</v>
      </c>
      <c r="D15" s="420"/>
    </row>
    <row r="16" spans="1:4" s="31" customFormat="1" x14ac:dyDescent="0.25"/>
    <row r="17" spans="1:4" ht="18.75" x14ac:dyDescent="0.3">
      <c r="A17" s="414" t="s">
        <v>201</v>
      </c>
      <c r="B17" s="414"/>
      <c r="C17" s="414"/>
      <c r="D17" s="414"/>
    </row>
    <row r="18" spans="1:4" ht="18.75" x14ac:dyDescent="0.3">
      <c r="A18" s="417" t="s">
        <v>204</v>
      </c>
      <c r="B18" s="417"/>
      <c r="C18" s="418" t="s">
        <v>202</v>
      </c>
      <c r="D18" s="418"/>
    </row>
    <row r="19" spans="1:4" ht="18.75" x14ac:dyDescent="0.3">
      <c r="C19" s="42" t="s">
        <v>356</v>
      </c>
      <c r="D19" s="42"/>
    </row>
    <row r="20" spans="1:4" ht="18.75" x14ac:dyDescent="0.3">
      <c r="C20" s="42"/>
      <c r="D20" s="42"/>
    </row>
    <row r="22" spans="1:4" ht="18.75" x14ac:dyDescent="0.3">
      <c r="A22" s="415"/>
      <c r="B22" s="415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topLeftCell="C104" zoomScaleNormal="100" workbookViewId="0">
      <selection activeCell="C18" sqref="A18:XFD18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421" t="s">
        <v>165</v>
      </c>
      <c r="D1" s="421"/>
      <c r="E1" s="421"/>
      <c r="F1" s="421"/>
    </row>
    <row r="2" spans="1:10" x14ac:dyDescent="0.25">
      <c r="B2" s="2"/>
      <c r="C2" s="117"/>
      <c r="D2" s="117"/>
      <c r="E2" s="118"/>
      <c r="F2" s="119" t="s">
        <v>0</v>
      </c>
    </row>
    <row r="3" spans="1:10" ht="63" x14ac:dyDescent="0.25">
      <c r="B3" s="3" t="s">
        <v>1</v>
      </c>
      <c r="C3" s="120" t="s">
        <v>2</v>
      </c>
      <c r="D3" s="120" t="s">
        <v>550</v>
      </c>
      <c r="E3" s="120" t="s">
        <v>551</v>
      </c>
      <c r="F3" s="121" t="s">
        <v>552</v>
      </c>
    </row>
    <row r="4" spans="1:10" x14ac:dyDescent="0.25">
      <c r="B4" s="4" t="s">
        <v>3</v>
      </c>
      <c r="C4" s="122" t="s">
        <v>4</v>
      </c>
      <c r="D4" s="123">
        <f>SUM(D5,D12)</f>
        <v>149630.68239999996</v>
      </c>
      <c r="E4" s="123">
        <f>SUM(E5,E12)</f>
        <v>156627.19999999998</v>
      </c>
      <c r="F4" s="123">
        <f>SUM(F5,F12)</f>
        <v>156684</v>
      </c>
      <c r="J4" s="13"/>
    </row>
    <row r="5" spans="1:10" x14ac:dyDescent="0.25">
      <c r="B5" s="4"/>
      <c r="C5" s="122" t="s">
        <v>5</v>
      </c>
      <c r="D5" s="123">
        <f>SUM(D6,D7,D8,D9,D10,D11)</f>
        <v>138149.15339999995</v>
      </c>
      <c r="E5" s="123">
        <f>SUM(E6,E7,E8,E9,E10,E11)</f>
        <v>149446.29999999999</v>
      </c>
      <c r="F5" s="123">
        <f>SUM(F6,F7,F8,F9,F10,F11)</f>
        <v>147432.29999999999</v>
      </c>
      <c r="J5" s="13"/>
    </row>
    <row r="6" spans="1:10" x14ac:dyDescent="0.25">
      <c r="B6" s="30" t="s">
        <v>6</v>
      </c>
      <c r="C6" s="124" t="s">
        <v>166</v>
      </c>
      <c r="D6" s="126">
        <v>116038.28859</v>
      </c>
      <c r="E6" s="125">
        <v>125110.7</v>
      </c>
      <c r="F6" s="125">
        <v>123859.9</v>
      </c>
    </row>
    <row r="7" spans="1:10" ht="31.5" x14ac:dyDescent="0.25">
      <c r="B7" s="6" t="s">
        <v>7</v>
      </c>
      <c r="C7" s="124" t="s">
        <v>167</v>
      </c>
      <c r="D7" s="126">
        <v>3298.01584</v>
      </c>
      <c r="E7" s="126">
        <v>3993.2000000000003</v>
      </c>
      <c r="F7" s="126">
        <v>4409.3</v>
      </c>
    </row>
    <row r="8" spans="1:10" x14ac:dyDescent="0.25">
      <c r="B8" s="6" t="s">
        <v>8</v>
      </c>
      <c r="C8" s="124" t="s">
        <v>168</v>
      </c>
      <c r="D8" s="126">
        <v>16496.000169999999</v>
      </c>
      <c r="E8" s="126">
        <v>18290.2</v>
      </c>
      <c r="F8" s="126">
        <v>16499.099999999999</v>
      </c>
    </row>
    <row r="9" spans="1:10" x14ac:dyDescent="0.25">
      <c r="B9" s="9" t="s">
        <v>9</v>
      </c>
      <c r="C9" s="124" t="s">
        <v>169</v>
      </c>
      <c r="D9" s="126">
        <v>1716.80654</v>
      </c>
      <c r="E9" s="126">
        <v>1716.8999999999999</v>
      </c>
      <c r="F9" s="126">
        <v>1807.8</v>
      </c>
    </row>
    <row r="10" spans="1:10" x14ac:dyDescent="0.25">
      <c r="B10" s="6" t="s">
        <v>10</v>
      </c>
      <c r="C10" s="124" t="s">
        <v>170</v>
      </c>
      <c r="D10" s="126">
        <v>600.04226000000006</v>
      </c>
      <c r="E10" s="126">
        <v>335.3</v>
      </c>
      <c r="F10" s="126">
        <v>856.2</v>
      </c>
    </row>
    <row r="11" spans="1:10" ht="31.5" x14ac:dyDescent="0.25">
      <c r="B11" s="6" t="s">
        <v>158</v>
      </c>
      <c r="C11" s="124" t="s">
        <v>171</v>
      </c>
      <c r="D11" s="126">
        <v>0</v>
      </c>
      <c r="E11" s="126">
        <v>0</v>
      </c>
      <c r="F11" s="126">
        <v>0</v>
      </c>
    </row>
    <row r="12" spans="1:10" s="11" customFormat="1" x14ac:dyDescent="0.25">
      <c r="B12" s="5"/>
      <c r="C12" s="12" t="s">
        <v>11</v>
      </c>
      <c r="D12" s="127">
        <f>SUM(D13,D14,D15,D16,D17)</f>
        <v>11481.529</v>
      </c>
      <c r="E12" s="127">
        <f>SUM(E13,E14,E15,E16,E17)</f>
        <v>7180.9</v>
      </c>
      <c r="F12" s="127">
        <f>SUM(F13,F14,F15,F16,F17)</f>
        <v>9251.6999999999989</v>
      </c>
      <c r="G12" s="10"/>
      <c r="H12" s="10"/>
      <c r="I12" s="1"/>
    </row>
    <row r="13" spans="1:10" ht="31.5" x14ac:dyDescent="0.25">
      <c r="B13" s="6" t="s">
        <v>12</v>
      </c>
      <c r="C13" s="124" t="s">
        <v>172</v>
      </c>
      <c r="D13" s="126">
        <v>13832.929</v>
      </c>
      <c r="E13" s="126">
        <v>6500</v>
      </c>
      <c r="F13" s="126">
        <v>6844</v>
      </c>
    </row>
    <row r="14" spans="1:10" x14ac:dyDescent="0.25">
      <c r="B14" s="6" t="s">
        <v>13</v>
      </c>
      <c r="C14" s="124" t="s">
        <v>173</v>
      </c>
      <c r="D14" s="126">
        <v>-6129.8</v>
      </c>
      <c r="E14" s="126">
        <v>300</v>
      </c>
      <c r="F14" s="126">
        <v>1387.4</v>
      </c>
    </row>
    <row r="15" spans="1:10" customFormat="1" ht="16.5" customHeight="1" x14ac:dyDescent="0.25">
      <c r="A15" s="31"/>
      <c r="B15" s="8" t="s">
        <v>14</v>
      </c>
      <c r="C15" s="128" t="s">
        <v>174</v>
      </c>
      <c r="D15" s="126">
        <v>291.2</v>
      </c>
      <c r="E15" s="126">
        <v>0</v>
      </c>
      <c r="F15" s="126">
        <v>820.4</v>
      </c>
      <c r="I15" s="1"/>
    </row>
    <row r="16" spans="1:10" customFormat="1" x14ac:dyDescent="0.25">
      <c r="A16" s="31"/>
      <c r="B16" s="8" t="s">
        <v>157</v>
      </c>
      <c r="C16" s="128" t="s">
        <v>175</v>
      </c>
      <c r="D16" s="126">
        <v>2111.6</v>
      </c>
      <c r="E16" s="126">
        <v>0</v>
      </c>
      <c r="F16" s="126">
        <v>20.100000000000001</v>
      </c>
      <c r="I16" s="1"/>
    </row>
    <row r="17" spans="2:6" x14ac:dyDescent="0.25">
      <c r="B17" s="6" t="s">
        <v>15</v>
      </c>
      <c r="C17" s="124" t="s">
        <v>176</v>
      </c>
      <c r="D17" s="126">
        <v>1375.6</v>
      </c>
      <c r="E17" s="126">
        <v>380.9</v>
      </c>
      <c r="F17" s="126">
        <v>179.8</v>
      </c>
    </row>
    <row r="18" spans="2:6" x14ac:dyDescent="0.25">
      <c r="B18" s="5" t="s">
        <v>16</v>
      </c>
      <c r="C18" s="12" t="s">
        <v>17</v>
      </c>
      <c r="D18" s="129">
        <f>SUM(D19,D73:D75)</f>
        <v>1236323.2</v>
      </c>
      <c r="E18" s="129">
        <f>SUM(E19,E73:E75)</f>
        <v>1261864.6000000001</v>
      </c>
      <c r="F18" s="129">
        <f>SUM(F19,F73:F75)</f>
        <v>2260003.9</v>
      </c>
    </row>
    <row r="19" spans="2:6" ht="31.5" x14ac:dyDescent="0.25">
      <c r="B19" s="5" t="s">
        <v>18</v>
      </c>
      <c r="C19" s="130" t="s">
        <v>19</v>
      </c>
      <c r="D19" s="129">
        <f>SUM(D20,D21,D50,D64)</f>
        <v>1233680</v>
      </c>
      <c r="E19" s="129">
        <f>SUM(E20,E21,E50,E64)</f>
        <v>1261864.6000000001</v>
      </c>
      <c r="F19" s="129">
        <f>SUM(F20,F21,F50,F64)</f>
        <v>2260261.5</v>
      </c>
    </row>
    <row r="20" spans="2:6" ht="31.5" x14ac:dyDescent="0.25">
      <c r="B20" s="5" t="s">
        <v>20</v>
      </c>
      <c r="C20" s="12" t="s">
        <v>21</v>
      </c>
      <c r="D20" s="127">
        <v>626726.9</v>
      </c>
      <c r="E20" s="127">
        <v>572437.1</v>
      </c>
      <c r="F20" s="127">
        <v>1528086.9</v>
      </c>
    </row>
    <row r="21" spans="2:6" ht="31.5" x14ac:dyDescent="0.25">
      <c r="B21" s="5" t="s">
        <v>22</v>
      </c>
      <c r="C21" s="12" t="s">
        <v>23</v>
      </c>
      <c r="D21" s="129">
        <f>SUM(D22:D28)</f>
        <v>89475</v>
      </c>
      <c r="E21" s="129">
        <f t="shared" ref="E21:F21" si="0">SUM(E22:E28)</f>
        <v>140937.70000000001</v>
      </c>
      <c r="F21" s="129">
        <f t="shared" si="0"/>
        <v>157308.39999999997</v>
      </c>
    </row>
    <row r="22" spans="2:6" ht="31.5" x14ac:dyDescent="0.25">
      <c r="B22" s="5"/>
      <c r="C22" s="7" t="s">
        <v>357</v>
      </c>
      <c r="D22" s="131">
        <v>5950.6</v>
      </c>
      <c r="E22" s="131">
        <v>0</v>
      </c>
      <c r="F22" s="131">
        <v>7350</v>
      </c>
    </row>
    <row r="23" spans="2:6" ht="47.25" x14ac:dyDescent="0.25">
      <c r="B23" s="5"/>
      <c r="C23" s="404" t="s">
        <v>540</v>
      </c>
      <c r="D23" s="131">
        <v>6084.7</v>
      </c>
      <c r="E23" s="131">
        <v>3260.9</v>
      </c>
      <c r="F23" s="131">
        <v>3260.9</v>
      </c>
    </row>
    <row r="24" spans="2:6" ht="47.25" x14ac:dyDescent="0.25">
      <c r="B24" s="5"/>
      <c r="C24" s="404" t="s">
        <v>541</v>
      </c>
      <c r="D24" s="131">
        <v>0</v>
      </c>
      <c r="E24" s="131">
        <v>18.899999999999999</v>
      </c>
      <c r="F24" s="131">
        <v>18.899999999999999</v>
      </c>
    </row>
    <row r="25" spans="2:6" ht="63" x14ac:dyDescent="0.25">
      <c r="B25" s="5"/>
      <c r="C25" s="404" t="s">
        <v>558</v>
      </c>
      <c r="D25" s="131">
        <v>0</v>
      </c>
      <c r="E25" s="131">
        <v>0</v>
      </c>
      <c r="F25" s="131">
        <v>3785.5</v>
      </c>
    </row>
    <row r="26" spans="2:6" ht="47.25" x14ac:dyDescent="0.25">
      <c r="B26" s="5"/>
      <c r="C26" s="404" t="s">
        <v>535</v>
      </c>
      <c r="D26" s="131">
        <v>604.79999999999995</v>
      </c>
      <c r="E26" s="131">
        <v>0</v>
      </c>
      <c r="F26" s="131">
        <v>0</v>
      </c>
    </row>
    <row r="27" spans="2:6" ht="48.75" customHeight="1" x14ac:dyDescent="0.25">
      <c r="B27" s="5"/>
      <c r="C27" s="7" t="s">
        <v>530</v>
      </c>
      <c r="D27" s="131">
        <v>1409</v>
      </c>
      <c r="E27" s="131">
        <v>0</v>
      </c>
      <c r="F27" s="131">
        <v>0</v>
      </c>
    </row>
    <row r="28" spans="2:6" x14ac:dyDescent="0.25">
      <c r="B28" s="6" t="s">
        <v>24</v>
      </c>
      <c r="C28" s="7" t="s">
        <v>25</v>
      </c>
      <c r="D28" s="131">
        <v>75425.899999999994</v>
      </c>
      <c r="E28" s="131">
        <f>SUM(E30:E48)</f>
        <v>137657.90000000002</v>
      </c>
      <c r="F28" s="131">
        <f>SUM(F30:F49)</f>
        <v>142893.09999999998</v>
      </c>
    </row>
    <row r="29" spans="2:6" x14ac:dyDescent="0.25">
      <c r="C29" s="7" t="s">
        <v>26</v>
      </c>
      <c r="D29" s="126"/>
      <c r="E29" s="126"/>
      <c r="F29" s="126"/>
    </row>
    <row r="30" spans="2:6" ht="31.5" x14ac:dyDescent="0.25">
      <c r="B30" s="6"/>
      <c r="C30" s="7" t="s">
        <v>358</v>
      </c>
      <c r="D30" s="126">
        <v>39453.1</v>
      </c>
      <c r="E30" s="126">
        <v>57675.8</v>
      </c>
      <c r="F30" s="408">
        <v>58178.2</v>
      </c>
    </row>
    <row r="31" spans="2:6" ht="32.25" customHeight="1" x14ac:dyDescent="0.25">
      <c r="B31" s="7"/>
      <c r="C31" s="95" t="s">
        <v>28</v>
      </c>
      <c r="D31" s="126">
        <v>5536.3</v>
      </c>
      <c r="E31" s="126">
        <v>5906.8</v>
      </c>
      <c r="F31" s="408">
        <v>6051.5</v>
      </c>
    </row>
    <row r="32" spans="2:6" ht="32.25" customHeight="1" x14ac:dyDescent="0.25">
      <c r="B32" s="7"/>
      <c r="C32" s="95" t="s">
        <v>529</v>
      </c>
      <c r="D32" s="126">
        <v>11534.1</v>
      </c>
      <c r="E32" s="126">
        <v>10000</v>
      </c>
      <c r="F32" s="408">
        <v>12473.4</v>
      </c>
    </row>
    <row r="33" spans="2:6" x14ac:dyDescent="0.25">
      <c r="B33" s="7"/>
      <c r="C33" s="95" t="s">
        <v>29</v>
      </c>
      <c r="D33" s="126">
        <v>150.19999999999999</v>
      </c>
      <c r="E33" s="126">
        <v>0</v>
      </c>
      <c r="F33" s="126">
        <v>0</v>
      </c>
    </row>
    <row r="34" spans="2:6" ht="31.5" x14ac:dyDescent="0.25">
      <c r="B34" s="7"/>
      <c r="C34" s="95" t="s">
        <v>531</v>
      </c>
      <c r="D34" s="126">
        <v>2114.8000000000002</v>
      </c>
      <c r="E34" s="126">
        <v>0</v>
      </c>
      <c r="F34" s="126">
        <v>0</v>
      </c>
    </row>
    <row r="35" spans="2:6" ht="31.5" x14ac:dyDescent="0.25">
      <c r="B35" s="7"/>
      <c r="C35" s="95" t="s">
        <v>532</v>
      </c>
      <c r="D35" s="126">
        <v>314.10000000000002</v>
      </c>
      <c r="E35" s="126">
        <v>0</v>
      </c>
      <c r="F35" s="126">
        <v>8041.3</v>
      </c>
    </row>
    <row r="36" spans="2:6" x14ac:dyDescent="0.25">
      <c r="B36" s="7"/>
      <c r="C36" s="95" t="s">
        <v>533</v>
      </c>
      <c r="D36" s="126">
        <v>1000</v>
      </c>
      <c r="E36" s="126">
        <v>0</v>
      </c>
      <c r="F36" s="408">
        <v>800</v>
      </c>
    </row>
    <row r="37" spans="2:6" ht="31.5" x14ac:dyDescent="0.25">
      <c r="B37" s="7"/>
      <c r="C37" s="7" t="s">
        <v>27</v>
      </c>
      <c r="D37" s="126">
        <v>4504.5</v>
      </c>
      <c r="E37" s="126">
        <v>5197.5</v>
      </c>
      <c r="F37" s="408">
        <v>5197.5</v>
      </c>
    </row>
    <row r="38" spans="2:6" ht="47.25" hidden="1" x14ac:dyDescent="0.25">
      <c r="B38" s="7"/>
      <c r="C38" s="7" t="s">
        <v>438</v>
      </c>
      <c r="D38" s="126">
        <v>18155</v>
      </c>
      <c r="E38" s="126">
        <v>0</v>
      </c>
      <c r="F38" s="126">
        <v>0</v>
      </c>
    </row>
    <row r="39" spans="2:6" ht="31.5" hidden="1" x14ac:dyDescent="0.25">
      <c r="B39" s="7"/>
      <c r="C39" s="7" t="s">
        <v>439</v>
      </c>
      <c r="D39" s="131">
        <v>5000</v>
      </c>
      <c r="E39" s="126">
        <v>0</v>
      </c>
      <c r="F39" s="126">
        <v>0</v>
      </c>
    </row>
    <row r="40" spans="2:6" ht="31.5" hidden="1" x14ac:dyDescent="0.25">
      <c r="B40" s="7"/>
      <c r="C40" s="7" t="s">
        <v>440</v>
      </c>
      <c r="D40" s="131">
        <v>0</v>
      </c>
      <c r="E40" s="126">
        <v>0</v>
      </c>
      <c r="F40" s="126">
        <v>0</v>
      </c>
    </row>
    <row r="41" spans="2:6" ht="31.5" x14ac:dyDescent="0.25">
      <c r="B41" s="7"/>
      <c r="C41" s="404" t="s">
        <v>536</v>
      </c>
      <c r="D41" s="126">
        <v>8497.2999999999993</v>
      </c>
      <c r="E41" s="126">
        <v>26200</v>
      </c>
      <c r="F41" s="408">
        <v>26200</v>
      </c>
    </row>
    <row r="42" spans="2:6" ht="31.5" x14ac:dyDescent="0.25">
      <c r="B42" s="7"/>
      <c r="C42" s="404" t="s">
        <v>537</v>
      </c>
      <c r="D42" s="126">
        <v>361</v>
      </c>
      <c r="E42" s="126">
        <v>0</v>
      </c>
      <c r="F42" s="131">
        <v>0</v>
      </c>
    </row>
    <row r="43" spans="2:6" ht="31.5" x14ac:dyDescent="0.25">
      <c r="B43" s="7"/>
      <c r="C43" s="404" t="s">
        <v>538</v>
      </c>
      <c r="D43" s="126">
        <v>0</v>
      </c>
      <c r="E43" s="126">
        <v>23377.8</v>
      </c>
      <c r="F43" s="408">
        <v>23377.8</v>
      </c>
    </row>
    <row r="44" spans="2:6" ht="31.5" x14ac:dyDescent="0.25">
      <c r="B44" s="7"/>
      <c r="C44" s="404" t="s">
        <v>539</v>
      </c>
      <c r="D44" s="131">
        <v>1960.5</v>
      </c>
      <c r="E44" s="126">
        <v>0</v>
      </c>
      <c r="F44" s="131">
        <v>0</v>
      </c>
    </row>
    <row r="45" spans="2:6" ht="31.5" x14ac:dyDescent="0.25">
      <c r="B45" s="7"/>
      <c r="C45" s="404" t="s">
        <v>553</v>
      </c>
      <c r="D45" s="131">
        <v>0</v>
      </c>
      <c r="E45" s="131">
        <v>300</v>
      </c>
      <c r="F45" s="408">
        <v>300</v>
      </c>
    </row>
    <row r="46" spans="2:6" ht="31.5" x14ac:dyDescent="0.25">
      <c r="B46" s="7"/>
      <c r="C46" s="404" t="s">
        <v>554</v>
      </c>
      <c r="D46" s="131">
        <v>0</v>
      </c>
      <c r="E46" s="131">
        <v>1000</v>
      </c>
      <c r="F46" s="408">
        <v>1000</v>
      </c>
    </row>
    <row r="47" spans="2:6" ht="31.5" x14ac:dyDescent="0.25">
      <c r="B47" s="7"/>
      <c r="C47" s="404" t="s">
        <v>555</v>
      </c>
      <c r="D47" s="131">
        <v>0</v>
      </c>
      <c r="E47" s="131">
        <v>8000</v>
      </c>
      <c r="F47" s="408">
        <v>0</v>
      </c>
    </row>
    <row r="48" spans="2:6" ht="31.5" hidden="1" x14ac:dyDescent="0.25">
      <c r="B48" s="7"/>
      <c r="C48" s="404" t="s">
        <v>542</v>
      </c>
      <c r="D48" s="131">
        <v>0</v>
      </c>
      <c r="E48" s="126">
        <v>0</v>
      </c>
      <c r="F48" s="131"/>
    </row>
    <row r="49" spans="2:9" ht="94.5" x14ac:dyDescent="0.25">
      <c r="B49" s="7"/>
      <c r="C49" s="404" t="s">
        <v>559</v>
      </c>
      <c r="D49" s="131">
        <v>0</v>
      </c>
      <c r="E49" s="126">
        <v>0</v>
      </c>
      <c r="F49" s="131">
        <v>1273.4000000000001</v>
      </c>
    </row>
    <row r="50" spans="2:9" ht="31.5" x14ac:dyDescent="0.25">
      <c r="B50" s="12" t="s">
        <v>30</v>
      </c>
      <c r="C50" s="12" t="s">
        <v>31</v>
      </c>
      <c r="D50" s="127">
        <f>SUM(D51:D54,D55)</f>
        <v>514478.1</v>
      </c>
      <c r="E50" s="127">
        <f>SUM(E51:E54,E55)</f>
        <v>548489.80000000005</v>
      </c>
      <c r="F50" s="127">
        <f>SUM(F51:F54,F55)</f>
        <v>552687.1</v>
      </c>
      <c r="H50" s="13"/>
    </row>
    <row r="51" spans="2:9" ht="78.75" x14ac:dyDescent="0.25">
      <c r="B51" s="7" t="s">
        <v>32</v>
      </c>
      <c r="C51" s="7" t="s">
        <v>359</v>
      </c>
      <c r="D51" s="126">
        <v>600</v>
      </c>
      <c r="E51" s="131">
        <v>1149.5999999999999</v>
      </c>
      <c r="F51" s="408">
        <v>749.6</v>
      </c>
    </row>
    <row r="52" spans="2:9" ht="63" x14ac:dyDescent="0.25">
      <c r="B52" s="7"/>
      <c r="C52" s="96" t="s">
        <v>360</v>
      </c>
      <c r="D52" s="131">
        <v>6405.6</v>
      </c>
      <c r="E52" s="131">
        <v>1663.2</v>
      </c>
      <c r="F52" s="408">
        <v>2322.3000000000002</v>
      </c>
    </row>
    <row r="53" spans="2:9" ht="63" x14ac:dyDescent="0.25">
      <c r="B53" s="7"/>
      <c r="C53" s="7" t="s">
        <v>421</v>
      </c>
      <c r="D53" s="126">
        <v>0</v>
      </c>
      <c r="E53" s="131">
        <v>9.9</v>
      </c>
      <c r="F53" s="408">
        <v>9.9</v>
      </c>
    </row>
    <row r="54" spans="2:9" ht="31.5" x14ac:dyDescent="0.25">
      <c r="B54" s="7" t="s">
        <v>33</v>
      </c>
      <c r="C54" s="7" t="s">
        <v>420</v>
      </c>
      <c r="D54" s="131">
        <v>2572.8000000000002</v>
      </c>
      <c r="E54" s="131">
        <v>2184.8000000000002</v>
      </c>
      <c r="F54" s="408">
        <v>2830.4</v>
      </c>
    </row>
    <row r="55" spans="2:9" x14ac:dyDescent="0.25">
      <c r="B55" s="7" t="s">
        <v>35</v>
      </c>
      <c r="C55" s="7" t="s">
        <v>34</v>
      </c>
      <c r="D55" s="126">
        <f>SUM(D57:D63)</f>
        <v>504899.69999999995</v>
      </c>
      <c r="E55" s="126">
        <f t="shared" ref="E55:F55" si="1">SUM(E57:E63)</f>
        <v>543482.30000000005</v>
      </c>
      <c r="F55" s="126">
        <f t="shared" si="1"/>
        <v>546774.9</v>
      </c>
    </row>
    <row r="56" spans="2:9" x14ac:dyDescent="0.25">
      <c r="C56" s="7" t="s">
        <v>26</v>
      </c>
      <c r="D56" s="126"/>
      <c r="E56" s="126"/>
      <c r="F56" s="126"/>
      <c r="H56" s="98"/>
      <c r="I56" s="98"/>
    </row>
    <row r="57" spans="2:9" x14ac:dyDescent="0.25">
      <c r="B57" s="7"/>
      <c r="C57" s="7" t="s">
        <v>36</v>
      </c>
      <c r="D57" s="131">
        <v>252.8</v>
      </c>
      <c r="E57" s="131">
        <v>273.7</v>
      </c>
      <c r="F57" s="408">
        <v>273.7</v>
      </c>
      <c r="H57" s="99"/>
      <c r="I57" s="98"/>
    </row>
    <row r="58" spans="2:9" x14ac:dyDescent="0.25">
      <c r="B58" s="7"/>
      <c r="C58" s="7" t="s">
        <v>38</v>
      </c>
      <c r="D58" s="131">
        <v>122.4</v>
      </c>
      <c r="E58" s="131">
        <v>140</v>
      </c>
      <c r="F58" s="408">
        <v>140</v>
      </c>
      <c r="H58" s="99"/>
      <c r="I58" s="98"/>
    </row>
    <row r="59" spans="2:9" ht="18.75" customHeight="1" x14ac:dyDescent="0.25">
      <c r="B59" s="7"/>
      <c r="C59" s="7" t="s">
        <v>37</v>
      </c>
      <c r="D59" s="131">
        <v>1818.4</v>
      </c>
      <c r="E59" s="131">
        <v>1797.7</v>
      </c>
      <c r="F59" s="408">
        <v>1797.7</v>
      </c>
      <c r="H59" s="99"/>
      <c r="I59" s="98"/>
    </row>
    <row r="60" spans="2:9" ht="47.25" x14ac:dyDescent="0.25">
      <c r="B60" s="7"/>
      <c r="C60" s="7" t="s">
        <v>361</v>
      </c>
      <c r="D60" s="131">
        <v>5235</v>
      </c>
      <c r="E60" s="131">
        <v>5270.4</v>
      </c>
      <c r="F60" s="408">
        <v>5270.4</v>
      </c>
      <c r="H60" s="99"/>
      <c r="I60" s="98"/>
    </row>
    <row r="61" spans="2:9" ht="31.5" x14ac:dyDescent="0.25">
      <c r="B61" s="7"/>
      <c r="C61" s="7" t="s">
        <v>362</v>
      </c>
      <c r="D61" s="131">
        <v>1198</v>
      </c>
      <c r="E61" s="131">
        <v>1293.0999999999999</v>
      </c>
      <c r="F61" s="408">
        <v>1195.5999999999999</v>
      </c>
      <c r="H61" s="99"/>
      <c r="I61" s="98"/>
    </row>
    <row r="62" spans="2:9" ht="31.5" x14ac:dyDescent="0.25">
      <c r="B62" s="7"/>
      <c r="C62" s="7" t="s">
        <v>363</v>
      </c>
      <c r="D62" s="126">
        <v>0</v>
      </c>
      <c r="E62" s="131">
        <v>1290.5</v>
      </c>
      <c r="F62" s="408">
        <v>0</v>
      </c>
      <c r="H62" s="99"/>
      <c r="I62" s="98"/>
    </row>
    <row r="63" spans="2:9" ht="126" x14ac:dyDescent="0.25">
      <c r="B63" s="7"/>
      <c r="C63" s="7" t="s">
        <v>39</v>
      </c>
      <c r="D63" s="131">
        <v>496273.1</v>
      </c>
      <c r="E63" s="407">
        <v>533416.9</v>
      </c>
      <c r="F63" s="410">
        <v>538097.5</v>
      </c>
      <c r="H63" s="99"/>
      <c r="I63" s="98"/>
    </row>
    <row r="64" spans="2:9" x14ac:dyDescent="0.25">
      <c r="B64" s="7"/>
      <c r="C64" s="405" t="s">
        <v>543</v>
      </c>
      <c r="D64" s="127">
        <v>3000</v>
      </c>
      <c r="E64" s="127">
        <v>0</v>
      </c>
      <c r="F64" s="127">
        <f>SUM(F65,F67,F66)</f>
        <v>22179.1</v>
      </c>
      <c r="H64" s="99"/>
      <c r="I64" s="98"/>
    </row>
    <row r="65" spans="1:9" ht="63" x14ac:dyDescent="0.25">
      <c r="B65" s="7"/>
      <c r="C65" s="7" t="s">
        <v>560</v>
      </c>
      <c r="D65" s="127"/>
      <c r="E65" s="127"/>
      <c r="F65" s="127">
        <v>4296.6000000000004</v>
      </c>
      <c r="H65" s="99"/>
      <c r="I65" s="98"/>
    </row>
    <row r="66" spans="1:9" ht="47.25" x14ac:dyDescent="0.25">
      <c r="B66" s="7"/>
      <c r="C66" s="7" t="s">
        <v>568</v>
      </c>
      <c r="D66" s="127"/>
      <c r="E66" s="127"/>
      <c r="F66" s="127">
        <v>4981</v>
      </c>
      <c r="H66" s="99"/>
      <c r="I66" s="98"/>
    </row>
    <row r="67" spans="1:9" x14ac:dyDescent="0.25">
      <c r="B67" s="7"/>
      <c r="C67" s="7" t="s">
        <v>567</v>
      </c>
      <c r="D67" s="127"/>
      <c r="E67" s="127"/>
      <c r="F67" s="127">
        <f>SUM(F69:F72)</f>
        <v>12901.499999999998</v>
      </c>
      <c r="H67" s="99"/>
      <c r="I67" s="98"/>
    </row>
    <row r="68" spans="1:9" x14ac:dyDescent="0.25">
      <c r="B68" s="7"/>
      <c r="C68" s="7" t="s">
        <v>26</v>
      </c>
      <c r="D68" s="127"/>
      <c r="E68" s="127"/>
      <c r="F68" s="127"/>
      <c r="H68" s="99"/>
      <c r="I68" s="98"/>
    </row>
    <row r="69" spans="1:9" ht="47.25" x14ac:dyDescent="0.25">
      <c r="B69" s="7"/>
      <c r="C69" s="409" t="s">
        <v>561</v>
      </c>
      <c r="D69" s="127"/>
      <c r="E69" s="127"/>
      <c r="F69" s="410">
        <v>4538.2</v>
      </c>
      <c r="H69" s="99"/>
      <c r="I69" s="98"/>
    </row>
    <row r="70" spans="1:9" ht="31.5" x14ac:dyDescent="0.25">
      <c r="B70" s="7"/>
      <c r="C70" s="409" t="s">
        <v>562</v>
      </c>
      <c r="D70" s="127"/>
      <c r="E70" s="127"/>
      <c r="F70" s="410">
        <v>1351</v>
      </c>
      <c r="H70" s="99"/>
      <c r="I70" s="98"/>
    </row>
    <row r="71" spans="1:9" ht="47.25" x14ac:dyDescent="0.25">
      <c r="B71" s="7"/>
      <c r="C71" s="409" t="s">
        <v>563</v>
      </c>
      <c r="D71" s="127"/>
      <c r="E71" s="127"/>
      <c r="F71" s="410">
        <v>6114.9</v>
      </c>
      <c r="H71" s="99"/>
      <c r="I71" s="98"/>
    </row>
    <row r="72" spans="1:9" ht="63" x14ac:dyDescent="0.25">
      <c r="B72" s="7"/>
      <c r="C72" s="409" t="s">
        <v>564</v>
      </c>
      <c r="D72" s="127"/>
      <c r="E72" s="127"/>
      <c r="F72" s="410">
        <v>897.4</v>
      </c>
      <c r="H72" s="99"/>
      <c r="I72" s="98"/>
    </row>
    <row r="73" spans="1:9" ht="19.5" customHeight="1" x14ac:dyDescent="0.25">
      <c r="B73" s="7"/>
      <c r="C73" s="12" t="s">
        <v>534</v>
      </c>
      <c r="D73" s="127">
        <v>3.3</v>
      </c>
      <c r="E73" s="127">
        <v>0</v>
      </c>
      <c r="F73" s="127">
        <v>57.3</v>
      </c>
      <c r="H73" s="99"/>
      <c r="I73" s="98"/>
    </row>
    <row r="74" spans="1:9" ht="47.25" x14ac:dyDescent="0.25">
      <c r="B74" s="7"/>
      <c r="C74" s="406" t="s">
        <v>544</v>
      </c>
      <c r="D74" s="127">
        <v>3357</v>
      </c>
      <c r="E74" s="127">
        <v>0</v>
      </c>
      <c r="F74" s="127">
        <v>0</v>
      </c>
      <c r="H74" s="99"/>
      <c r="I74" s="98"/>
    </row>
    <row r="75" spans="1:9" customFormat="1" ht="31.5" x14ac:dyDescent="0.25">
      <c r="A75" s="31"/>
      <c r="B75" s="14" t="s">
        <v>40</v>
      </c>
      <c r="C75" s="97" t="s">
        <v>177</v>
      </c>
      <c r="D75" s="127">
        <v>-717.1</v>
      </c>
      <c r="E75" s="127">
        <v>0</v>
      </c>
      <c r="F75" s="127">
        <v>-314.89999999999998</v>
      </c>
      <c r="I75" s="1"/>
    </row>
    <row r="76" spans="1:9" x14ac:dyDescent="0.25">
      <c r="B76" s="12" t="s">
        <v>41</v>
      </c>
      <c r="C76" s="12"/>
      <c r="D76" s="129">
        <f>SUM(D4,D18)</f>
        <v>1385953.8824</v>
      </c>
      <c r="E76" s="129">
        <f>SUM(E4,E18)</f>
        <v>1418491.8</v>
      </c>
      <c r="F76" s="129">
        <f>SUM(F4,F18)</f>
        <v>2416687.9</v>
      </c>
    </row>
    <row r="77" spans="1:9" x14ac:dyDescent="0.25">
      <c r="C77" s="118"/>
      <c r="D77" s="118"/>
      <c r="E77" s="118"/>
      <c r="F77" s="118"/>
    </row>
    <row r="78" spans="1:9" ht="39" customHeight="1" x14ac:dyDescent="0.3">
      <c r="A78" s="31"/>
      <c r="B78" s="37"/>
      <c r="C78" s="422" t="s">
        <v>164</v>
      </c>
      <c r="D78" s="422"/>
      <c r="E78" s="422"/>
      <c r="F78" s="422"/>
    </row>
    <row r="79" spans="1:9" x14ac:dyDescent="0.25">
      <c r="A79" s="31"/>
      <c r="B79" s="31"/>
      <c r="C79" s="133"/>
      <c r="D79" s="133"/>
      <c r="E79" s="133"/>
      <c r="F79" s="134" t="s">
        <v>42</v>
      </c>
    </row>
    <row r="80" spans="1:9" ht="63" x14ac:dyDescent="0.25">
      <c r="A80" s="31"/>
      <c r="B80" s="31"/>
      <c r="C80" s="39" t="s">
        <v>163</v>
      </c>
      <c r="D80" s="120" t="s">
        <v>550</v>
      </c>
      <c r="E80" s="120" t="s">
        <v>551</v>
      </c>
      <c r="F80" s="121" t="s">
        <v>552</v>
      </c>
    </row>
    <row r="81" spans="1:6" x14ac:dyDescent="0.25">
      <c r="A81" s="36" t="s">
        <v>46</v>
      </c>
      <c r="B81" s="36" t="s">
        <v>47</v>
      </c>
      <c r="C81" s="20" t="s">
        <v>45</v>
      </c>
      <c r="D81" s="135">
        <f>SUM(D82:D89)</f>
        <v>208558.5</v>
      </c>
      <c r="E81" s="135">
        <f>SUM(E82:E89)</f>
        <v>244018.59999999998</v>
      </c>
      <c r="F81" s="135">
        <f>SUM(F82:F89)</f>
        <v>263354.8</v>
      </c>
    </row>
    <row r="82" spans="1:6" ht="31.5" x14ac:dyDescent="0.25">
      <c r="A82" s="35" t="s">
        <v>46</v>
      </c>
      <c r="B82" s="35" t="s">
        <v>49</v>
      </c>
      <c r="C82" s="34" t="s">
        <v>48</v>
      </c>
      <c r="D82" s="136">
        <v>6156</v>
      </c>
      <c r="E82" s="136">
        <v>5060.8999999999996</v>
      </c>
      <c r="F82" s="136">
        <v>6645</v>
      </c>
    </row>
    <row r="83" spans="1:6" ht="47.25" x14ac:dyDescent="0.25">
      <c r="A83" s="35" t="s">
        <v>46</v>
      </c>
      <c r="B83" s="35" t="s">
        <v>63</v>
      </c>
      <c r="C83" s="34" t="s">
        <v>115</v>
      </c>
      <c r="D83" s="136">
        <v>0</v>
      </c>
      <c r="E83" s="136">
        <v>50</v>
      </c>
      <c r="F83" s="136">
        <v>50</v>
      </c>
    </row>
    <row r="84" spans="1:6" ht="47.25" x14ac:dyDescent="0.25">
      <c r="A84" s="35" t="s">
        <v>46</v>
      </c>
      <c r="B84" s="35" t="s">
        <v>53</v>
      </c>
      <c r="C84" s="34" t="s">
        <v>52</v>
      </c>
      <c r="D84" s="136">
        <v>87751.6</v>
      </c>
      <c r="E84" s="136">
        <v>71732.499999999985</v>
      </c>
      <c r="F84" s="136">
        <v>76930</v>
      </c>
    </row>
    <row r="85" spans="1:6" x14ac:dyDescent="0.25">
      <c r="A85" s="35" t="s">
        <v>46</v>
      </c>
      <c r="B85" s="35" t="s">
        <v>56</v>
      </c>
      <c r="C85" s="33" t="s">
        <v>55</v>
      </c>
      <c r="D85" s="136">
        <v>0</v>
      </c>
      <c r="E85" s="136">
        <v>9.9</v>
      </c>
      <c r="F85" s="136">
        <v>9.9</v>
      </c>
    </row>
    <row r="86" spans="1:6" ht="31.5" x14ac:dyDescent="0.25">
      <c r="A86" s="35" t="s">
        <v>46</v>
      </c>
      <c r="B86" s="35" t="s">
        <v>91</v>
      </c>
      <c r="C86" s="34" t="s">
        <v>90</v>
      </c>
      <c r="D86" s="136">
        <v>40928.299999999996</v>
      </c>
      <c r="E86" s="136">
        <v>36097.799999999996</v>
      </c>
      <c r="F86" s="136">
        <v>38090.6</v>
      </c>
    </row>
    <row r="87" spans="1:6" x14ac:dyDescent="0.25">
      <c r="A87" s="35" t="s">
        <v>46</v>
      </c>
      <c r="B87" s="35" t="s">
        <v>100</v>
      </c>
      <c r="C87" s="34" t="s">
        <v>118</v>
      </c>
      <c r="D87" s="136">
        <v>3652.2999999999997</v>
      </c>
      <c r="E87" s="136">
        <v>3775</v>
      </c>
      <c r="F87" s="136">
        <v>3775</v>
      </c>
    </row>
    <row r="88" spans="1:6" x14ac:dyDescent="0.25">
      <c r="A88" s="35" t="s">
        <v>46</v>
      </c>
      <c r="B88" s="35" t="s">
        <v>93</v>
      </c>
      <c r="C88" s="34" t="s">
        <v>92</v>
      </c>
      <c r="D88" s="136">
        <v>0</v>
      </c>
      <c r="E88" s="136">
        <v>10938.099999999999</v>
      </c>
      <c r="F88" s="136">
        <v>4419.7</v>
      </c>
    </row>
    <row r="89" spans="1:6" x14ac:dyDescent="0.25">
      <c r="A89" s="35" t="s">
        <v>46</v>
      </c>
      <c r="B89" s="35" t="s">
        <v>60</v>
      </c>
      <c r="C89" s="34" t="s">
        <v>59</v>
      </c>
      <c r="D89" s="136">
        <v>70070.3</v>
      </c>
      <c r="E89" s="136">
        <v>116354.4</v>
      </c>
      <c r="F89" s="136">
        <v>133434.6</v>
      </c>
    </row>
    <row r="90" spans="1:6" x14ac:dyDescent="0.25">
      <c r="A90" s="36" t="s">
        <v>63</v>
      </c>
      <c r="B90" s="36" t="s">
        <v>47</v>
      </c>
      <c r="C90" s="102" t="s">
        <v>65</v>
      </c>
      <c r="D90" s="135">
        <f>SUM(D91:D94)</f>
        <v>12186.300000000001</v>
      </c>
      <c r="E90" s="135">
        <f>SUM(E91:E94)</f>
        <v>11958.2</v>
      </c>
      <c r="F90" s="135">
        <f>SUM(F91:F94)</f>
        <v>14549</v>
      </c>
    </row>
    <row r="91" spans="1:6" x14ac:dyDescent="0.25">
      <c r="A91" s="35" t="s">
        <v>63</v>
      </c>
      <c r="B91" s="35" t="s">
        <v>53</v>
      </c>
      <c r="C91" s="33" t="s">
        <v>66</v>
      </c>
      <c r="D91" s="136">
        <v>2625</v>
      </c>
      <c r="E91" s="136">
        <v>2184.8000000000002</v>
      </c>
      <c r="F91" s="136">
        <v>2889</v>
      </c>
    </row>
    <row r="92" spans="1:6" ht="31.5" x14ac:dyDescent="0.25">
      <c r="A92" s="35" t="s">
        <v>63</v>
      </c>
      <c r="B92" s="35" t="s">
        <v>76</v>
      </c>
      <c r="C92" s="33" t="s">
        <v>160</v>
      </c>
      <c r="D92" s="136">
        <v>7681.3000000000011</v>
      </c>
      <c r="E92" s="136">
        <v>6993.4</v>
      </c>
      <c r="F92" s="136">
        <v>8880.9</v>
      </c>
    </row>
    <row r="93" spans="1:6" x14ac:dyDescent="0.25">
      <c r="A93" s="35" t="s">
        <v>63</v>
      </c>
      <c r="B93" s="35" t="s">
        <v>68</v>
      </c>
      <c r="C93" s="33" t="s">
        <v>67</v>
      </c>
      <c r="D93" s="136">
        <v>1770</v>
      </c>
      <c r="E93" s="136">
        <v>1925</v>
      </c>
      <c r="F93" s="136">
        <v>1925</v>
      </c>
    </row>
    <row r="94" spans="1:6" ht="31.5" x14ac:dyDescent="0.25">
      <c r="A94" s="35" t="s">
        <v>63</v>
      </c>
      <c r="B94" s="35" t="s">
        <v>159</v>
      </c>
      <c r="C94" s="33" t="s">
        <v>69</v>
      </c>
      <c r="D94" s="136">
        <v>110</v>
      </c>
      <c r="E94" s="136">
        <v>855</v>
      </c>
      <c r="F94" s="136">
        <v>854.1</v>
      </c>
    </row>
    <row r="95" spans="1:6" x14ac:dyDescent="0.25">
      <c r="A95" s="36" t="s">
        <v>53</v>
      </c>
      <c r="B95" s="36" t="s">
        <v>47</v>
      </c>
      <c r="C95" s="20" t="s">
        <v>70</v>
      </c>
      <c r="D95" s="135">
        <f>SUM(D96:D98)</f>
        <v>88962.299999999988</v>
      </c>
      <c r="E95" s="135">
        <f>SUM(E96:E98)</f>
        <v>125962.1</v>
      </c>
      <c r="F95" s="135">
        <f>SUM(F96:F98)</f>
        <v>127162.20000000001</v>
      </c>
    </row>
    <row r="96" spans="1:6" x14ac:dyDescent="0.25">
      <c r="A96" s="35" t="s">
        <v>53</v>
      </c>
      <c r="B96" s="35" t="s">
        <v>73</v>
      </c>
      <c r="C96" s="33" t="s">
        <v>72</v>
      </c>
      <c r="D96" s="136">
        <v>13598.3</v>
      </c>
      <c r="E96" s="136">
        <v>24559.1</v>
      </c>
      <c r="F96" s="136">
        <v>14828.2</v>
      </c>
    </row>
    <row r="97" spans="1:6" x14ac:dyDescent="0.25">
      <c r="A97" s="35" t="s">
        <v>53</v>
      </c>
      <c r="B97" s="35" t="s">
        <v>76</v>
      </c>
      <c r="C97" s="34" t="s">
        <v>75</v>
      </c>
      <c r="D97" s="136">
        <v>17908.099999999999</v>
      </c>
      <c r="E97" s="136">
        <v>25524.9</v>
      </c>
      <c r="F97" s="136">
        <v>28240.9</v>
      </c>
    </row>
    <row r="98" spans="1:6" x14ac:dyDescent="0.25">
      <c r="A98" s="35" t="s">
        <v>53</v>
      </c>
      <c r="B98" s="35" t="s">
        <v>79</v>
      </c>
      <c r="C98" s="33" t="s">
        <v>78</v>
      </c>
      <c r="D98" s="136">
        <v>57455.899999999994</v>
      </c>
      <c r="E98" s="136">
        <v>75878.100000000006</v>
      </c>
      <c r="F98" s="136">
        <v>84093.1</v>
      </c>
    </row>
    <row r="99" spans="1:6" x14ac:dyDescent="0.25">
      <c r="A99" s="36" t="s">
        <v>56</v>
      </c>
      <c r="B99" s="36" t="s">
        <v>47</v>
      </c>
      <c r="C99" s="20" t="s">
        <v>81</v>
      </c>
      <c r="D99" s="135">
        <f>SUM(D100:D103)</f>
        <v>185119</v>
      </c>
      <c r="E99" s="135">
        <f>SUM(E100:E103)</f>
        <v>125321.4</v>
      </c>
      <c r="F99" s="135">
        <f>SUM(F100:F103)</f>
        <v>1077035</v>
      </c>
    </row>
    <row r="100" spans="1:6" x14ac:dyDescent="0.25">
      <c r="A100" s="35" t="s">
        <v>56</v>
      </c>
      <c r="B100" s="35" t="s">
        <v>46</v>
      </c>
      <c r="C100" s="34" t="s">
        <v>82</v>
      </c>
      <c r="D100" s="136">
        <v>32243.200000000001</v>
      </c>
      <c r="E100" s="136">
        <v>25797.599999999999</v>
      </c>
      <c r="F100" s="390">
        <v>13427.8</v>
      </c>
    </row>
    <row r="101" spans="1:6" x14ac:dyDescent="0.25">
      <c r="A101" s="35" t="s">
        <v>56</v>
      </c>
      <c r="B101" s="35" t="s">
        <v>49</v>
      </c>
      <c r="C101" s="34" t="s">
        <v>83</v>
      </c>
      <c r="D101" s="136">
        <v>87197.7</v>
      </c>
      <c r="E101" s="136">
        <v>82684.899999999994</v>
      </c>
      <c r="F101" s="390">
        <v>134184.29999999999</v>
      </c>
    </row>
    <row r="102" spans="1:6" x14ac:dyDescent="0.25">
      <c r="A102" s="35" t="s">
        <v>56</v>
      </c>
      <c r="B102" s="35" t="s">
        <v>63</v>
      </c>
      <c r="C102" s="34" t="s">
        <v>86</v>
      </c>
      <c r="D102" s="136">
        <v>59709.8</v>
      </c>
      <c r="E102" s="136">
        <v>12472.5</v>
      </c>
      <c r="F102" s="390">
        <v>22876.6</v>
      </c>
    </row>
    <row r="103" spans="1:6" x14ac:dyDescent="0.25">
      <c r="A103" s="35" t="s">
        <v>56</v>
      </c>
      <c r="B103" s="35" t="s">
        <v>56</v>
      </c>
      <c r="C103" s="34" t="s">
        <v>87</v>
      </c>
      <c r="D103" s="136">
        <v>5968.2999999999993</v>
      </c>
      <c r="E103" s="136">
        <v>4366.3999999999996</v>
      </c>
      <c r="F103" s="390">
        <v>906546.3</v>
      </c>
    </row>
    <row r="104" spans="1:6" x14ac:dyDescent="0.25">
      <c r="A104" s="36" t="s">
        <v>100</v>
      </c>
      <c r="B104" s="36" t="s">
        <v>47</v>
      </c>
      <c r="C104" s="20" t="s">
        <v>99</v>
      </c>
      <c r="D104" s="135">
        <f>SUM(D105:D109)</f>
        <v>693689.89999999991</v>
      </c>
      <c r="E104" s="135">
        <f>SUM(E105:E109)</f>
        <v>731914.29999999993</v>
      </c>
      <c r="F104" s="135">
        <f>SUM(F105:F109)</f>
        <v>756299.79999999993</v>
      </c>
    </row>
    <row r="105" spans="1:6" x14ac:dyDescent="0.25">
      <c r="A105" s="35" t="s">
        <v>100</v>
      </c>
      <c r="B105" s="35" t="s">
        <v>46</v>
      </c>
      <c r="C105" s="34" t="s">
        <v>101</v>
      </c>
      <c r="D105" s="136">
        <v>68278.7</v>
      </c>
      <c r="E105" s="136">
        <v>75912.3</v>
      </c>
      <c r="F105" s="390">
        <v>75990</v>
      </c>
    </row>
    <row r="106" spans="1:6" x14ac:dyDescent="0.25">
      <c r="A106" s="35" t="s">
        <v>100</v>
      </c>
      <c r="B106" s="35" t="s">
        <v>49</v>
      </c>
      <c r="C106" s="34" t="s">
        <v>102</v>
      </c>
      <c r="D106" s="136">
        <v>509764.19999999995</v>
      </c>
      <c r="E106" s="136">
        <v>516144</v>
      </c>
      <c r="F106" s="390">
        <v>534039.6</v>
      </c>
    </row>
    <row r="107" spans="1:6" x14ac:dyDescent="0.25">
      <c r="A107" s="35" t="s">
        <v>100</v>
      </c>
      <c r="B107" s="35" t="s">
        <v>63</v>
      </c>
      <c r="C107" s="34" t="s">
        <v>161</v>
      </c>
      <c r="D107" s="136">
        <v>84056.6</v>
      </c>
      <c r="E107" s="136">
        <v>91211.199999999997</v>
      </c>
      <c r="F107" s="390">
        <v>98411.1</v>
      </c>
    </row>
    <row r="108" spans="1:6" x14ac:dyDescent="0.25">
      <c r="A108" s="35" t="s">
        <v>100</v>
      </c>
      <c r="B108" s="35" t="s">
        <v>100</v>
      </c>
      <c r="C108" s="34" t="s">
        <v>545</v>
      </c>
      <c r="D108" s="136">
        <v>15571.1</v>
      </c>
      <c r="E108" s="136">
        <v>16715.099999999999</v>
      </c>
      <c r="F108" s="390">
        <v>16050.2</v>
      </c>
    </row>
    <row r="109" spans="1:6" x14ac:dyDescent="0.25">
      <c r="A109" s="35" t="s">
        <v>100</v>
      </c>
      <c r="B109" s="35" t="s">
        <v>76</v>
      </c>
      <c r="C109" s="34" t="s">
        <v>103</v>
      </c>
      <c r="D109" s="136">
        <v>16019.3</v>
      </c>
      <c r="E109" s="136">
        <v>31931.699999999997</v>
      </c>
      <c r="F109" s="390">
        <v>31808.9</v>
      </c>
    </row>
    <row r="110" spans="1:6" x14ac:dyDescent="0.25">
      <c r="A110" s="36" t="s">
        <v>73</v>
      </c>
      <c r="B110" s="36" t="s">
        <v>47</v>
      </c>
      <c r="C110" s="20" t="s">
        <v>104</v>
      </c>
      <c r="D110" s="135">
        <f>SUM(D111)</f>
        <v>109761.9</v>
      </c>
      <c r="E110" s="135">
        <f>SUM(E111)</f>
        <v>111199.9</v>
      </c>
      <c r="F110" s="135">
        <f>SUM(F111)</f>
        <v>123469.4</v>
      </c>
    </row>
    <row r="111" spans="1:6" x14ac:dyDescent="0.25">
      <c r="A111" s="35" t="s">
        <v>73</v>
      </c>
      <c r="B111" s="35" t="s">
        <v>46</v>
      </c>
      <c r="C111" s="34" t="s">
        <v>105</v>
      </c>
      <c r="D111" s="136">
        <v>109761.9</v>
      </c>
      <c r="E111" s="136">
        <v>111199.9</v>
      </c>
      <c r="F111" s="136">
        <v>123469.4</v>
      </c>
    </row>
    <row r="112" spans="1:6" x14ac:dyDescent="0.25">
      <c r="A112" s="35"/>
      <c r="B112" s="35"/>
      <c r="C112" s="102" t="s">
        <v>422</v>
      </c>
      <c r="D112" s="135">
        <f>SUM(D113)</f>
        <v>0</v>
      </c>
      <c r="E112" s="135">
        <f>SUM(E113)</f>
        <v>1290.5</v>
      </c>
      <c r="F112" s="135">
        <f>SUM(F113)</f>
        <v>0</v>
      </c>
    </row>
    <row r="113" spans="1:6" x14ac:dyDescent="0.25">
      <c r="A113" s="35"/>
      <c r="B113" s="35"/>
      <c r="C113" s="34" t="s">
        <v>423</v>
      </c>
      <c r="D113" s="136">
        <v>0</v>
      </c>
      <c r="E113" s="136">
        <v>1290.5</v>
      </c>
      <c r="F113" s="136">
        <v>0</v>
      </c>
    </row>
    <row r="114" spans="1:6" x14ac:dyDescent="0.25">
      <c r="A114" s="36" t="s">
        <v>68</v>
      </c>
      <c r="B114" s="36" t="s">
        <v>47</v>
      </c>
      <c r="C114" s="26" t="s">
        <v>88</v>
      </c>
      <c r="D114" s="135">
        <f>SUM(D115:D118)</f>
        <v>56991.30000000001</v>
      </c>
      <c r="E114" s="135">
        <f>SUM(E115:E118)</f>
        <v>27420.199999999997</v>
      </c>
      <c r="F114" s="135">
        <f>SUM(F115:F118)</f>
        <v>38542.5</v>
      </c>
    </row>
    <row r="115" spans="1:6" x14ac:dyDescent="0.25">
      <c r="A115" s="35" t="s">
        <v>68</v>
      </c>
      <c r="B115" s="35" t="s">
        <v>46</v>
      </c>
      <c r="C115" s="34" t="s">
        <v>97</v>
      </c>
      <c r="D115" s="392">
        <v>9957.2000000000007</v>
      </c>
      <c r="E115" s="390">
        <v>9957.2000000000007</v>
      </c>
      <c r="F115" s="390">
        <v>9985</v>
      </c>
    </row>
    <row r="116" spans="1:6" x14ac:dyDescent="0.25">
      <c r="A116" s="35" t="s">
        <v>68</v>
      </c>
      <c r="B116" s="35" t="s">
        <v>63</v>
      </c>
      <c r="C116" s="21" t="s">
        <v>89</v>
      </c>
      <c r="D116" s="392">
        <v>2182.8000000000002</v>
      </c>
      <c r="E116" s="136">
        <v>0</v>
      </c>
      <c r="F116" s="390">
        <v>1800</v>
      </c>
    </row>
    <row r="117" spans="1:6" x14ac:dyDescent="0.25">
      <c r="A117" s="35" t="s">
        <v>68</v>
      </c>
      <c r="B117" s="35" t="s">
        <v>53</v>
      </c>
      <c r="C117" s="33" t="s">
        <v>106</v>
      </c>
      <c r="D117" s="392">
        <v>6792.9000000000005</v>
      </c>
      <c r="E117" s="136">
        <v>2812.8</v>
      </c>
      <c r="F117" s="390">
        <v>3071.9</v>
      </c>
    </row>
    <row r="118" spans="1:6" x14ac:dyDescent="0.25">
      <c r="A118" s="35" t="s">
        <v>68</v>
      </c>
      <c r="B118" s="35" t="s">
        <v>91</v>
      </c>
      <c r="C118" s="34" t="s">
        <v>107</v>
      </c>
      <c r="D118" s="392">
        <v>38058.400000000009</v>
      </c>
      <c r="E118" s="136">
        <v>14650.199999999999</v>
      </c>
      <c r="F118" s="391">
        <v>23685.599999999999</v>
      </c>
    </row>
    <row r="119" spans="1:6" x14ac:dyDescent="0.25">
      <c r="A119" s="36" t="s">
        <v>93</v>
      </c>
      <c r="B119" s="36" t="s">
        <v>47</v>
      </c>
      <c r="C119" s="20" t="s">
        <v>109</v>
      </c>
      <c r="D119" s="135">
        <f>SUM(D120:D121)</f>
        <v>28871.200000000001</v>
      </c>
      <c r="E119" s="135">
        <f>SUM(E120:E121)</f>
        <v>24406.6</v>
      </c>
      <c r="F119" s="135">
        <f>SUM(F120:F121)</f>
        <v>27540</v>
      </c>
    </row>
    <row r="120" spans="1:6" x14ac:dyDescent="0.25">
      <c r="A120" s="35" t="s">
        <v>93</v>
      </c>
      <c r="B120" s="35" t="s">
        <v>46</v>
      </c>
      <c r="C120" s="34" t="s">
        <v>110</v>
      </c>
      <c r="D120" s="392">
        <v>26424.7</v>
      </c>
      <c r="E120" s="136">
        <v>22949</v>
      </c>
      <c r="F120" s="390">
        <v>24466.3</v>
      </c>
    </row>
    <row r="121" spans="1:6" x14ac:dyDescent="0.25">
      <c r="A121" s="35" t="s">
        <v>93</v>
      </c>
      <c r="B121" s="35" t="s">
        <v>49</v>
      </c>
      <c r="C121" s="34" t="s">
        <v>113</v>
      </c>
      <c r="D121" s="392">
        <v>2446.5</v>
      </c>
      <c r="E121" s="136">
        <v>1457.6</v>
      </c>
      <c r="F121" s="390">
        <v>3073.7</v>
      </c>
    </row>
    <row r="122" spans="1:6" x14ac:dyDescent="0.25">
      <c r="A122" s="35"/>
      <c r="B122" s="35"/>
      <c r="C122" s="412" t="s">
        <v>565</v>
      </c>
      <c r="D122" s="392"/>
      <c r="E122" s="136"/>
      <c r="F122" s="135">
        <f>SUM(F123)</f>
        <v>1.3</v>
      </c>
    </row>
    <row r="123" spans="1:6" ht="17.25" customHeight="1" x14ac:dyDescent="0.25">
      <c r="A123" s="35"/>
      <c r="B123" s="35"/>
      <c r="C123" s="34" t="s">
        <v>566</v>
      </c>
      <c r="D123" s="392"/>
      <c r="E123" s="136"/>
      <c r="F123" s="390">
        <v>1.3</v>
      </c>
    </row>
    <row r="124" spans="1:6" x14ac:dyDescent="0.25">
      <c r="A124" s="35"/>
      <c r="B124" s="35"/>
      <c r="C124" s="20" t="s">
        <v>162</v>
      </c>
      <c r="D124" s="135">
        <f>D81+D90+D95+D99+D104+D110+D112+D114+D119</f>
        <v>1384140.4</v>
      </c>
      <c r="E124" s="135">
        <f>E81+E90+E95+E99+E104+E110+E112+E114+E119</f>
        <v>1403491.8</v>
      </c>
      <c r="F124" s="140">
        <f>F81+F90+F95+F99+F104+F110+F112+F114+F119+F122</f>
        <v>2427953.9999999995</v>
      </c>
    </row>
    <row r="125" spans="1:6" x14ac:dyDescent="0.25">
      <c r="C125" s="118"/>
      <c r="D125" s="41"/>
      <c r="E125" s="118"/>
      <c r="F125" s="118"/>
    </row>
    <row r="126" spans="1:6" ht="18.75" customHeight="1" x14ac:dyDescent="0.25">
      <c r="C126" s="423" t="s">
        <v>178</v>
      </c>
      <c r="D126" s="423"/>
      <c r="E126" s="423"/>
      <c r="F126" s="423"/>
    </row>
    <row r="127" spans="1:6" x14ac:dyDescent="0.25">
      <c r="C127" s="118"/>
      <c r="D127" s="118"/>
      <c r="E127" s="118"/>
      <c r="F127" s="134" t="s">
        <v>42</v>
      </c>
    </row>
    <row r="128" spans="1:6" ht="63" x14ac:dyDescent="0.25">
      <c r="C128" s="39" t="s">
        <v>163</v>
      </c>
      <c r="D128" s="120" t="s">
        <v>550</v>
      </c>
      <c r="E128" s="120" t="s">
        <v>551</v>
      </c>
      <c r="F128" s="121" t="s">
        <v>552</v>
      </c>
    </row>
    <row r="129" spans="2:7" ht="31.5" customHeight="1" x14ac:dyDescent="0.25">
      <c r="B129" s="32" t="s">
        <v>186</v>
      </c>
      <c r="C129" s="97" t="s">
        <v>179</v>
      </c>
      <c r="D129" s="137">
        <f>SUM(D130,D133)</f>
        <v>-1813.5</v>
      </c>
      <c r="E129" s="137">
        <f>SUM(E130,E133)</f>
        <v>-15000</v>
      </c>
      <c r="F129" s="137">
        <f>SUM(F130,F133)</f>
        <v>11266.100000000093</v>
      </c>
    </row>
    <row r="130" spans="2:7" ht="31.5" customHeight="1" x14ac:dyDescent="0.25">
      <c r="B130" s="32" t="s">
        <v>187</v>
      </c>
      <c r="C130" s="97" t="s">
        <v>180</v>
      </c>
      <c r="D130" s="137">
        <f>SUM(D131,D132)</f>
        <v>0</v>
      </c>
      <c r="E130" s="137">
        <f>SUM(E131,E132)</f>
        <v>-15000</v>
      </c>
      <c r="F130" s="137">
        <f>SUM(F131,F132)</f>
        <v>4500</v>
      </c>
    </row>
    <row r="131" spans="2:7" ht="31.5" customHeight="1" x14ac:dyDescent="0.25">
      <c r="B131" s="40" t="s">
        <v>188</v>
      </c>
      <c r="C131" s="138" t="s">
        <v>181</v>
      </c>
      <c r="D131" s="393">
        <v>0</v>
      </c>
      <c r="E131" s="139">
        <v>0</v>
      </c>
      <c r="F131" s="139">
        <v>19500</v>
      </c>
    </row>
    <row r="132" spans="2:7" ht="47.25" x14ac:dyDescent="0.25">
      <c r="B132" s="40" t="s">
        <v>189</v>
      </c>
      <c r="C132" s="138" t="s">
        <v>182</v>
      </c>
      <c r="D132" s="393">
        <v>0</v>
      </c>
      <c r="E132" s="139">
        <v>-15000</v>
      </c>
      <c r="F132" s="139">
        <v>-15000</v>
      </c>
    </row>
    <row r="133" spans="2:7" ht="19.5" customHeight="1" x14ac:dyDescent="0.25">
      <c r="B133" s="32" t="s">
        <v>190</v>
      </c>
      <c r="C133" s="97" t="s">
        <v>183</v>
      </c>
      <c r="D133" s="394">
        <f>SUM(D134,D135)</f>
        <v>-1813.5</v>
      </c>
      <c r="E133" s="140">
        <f>SUM(E134,E135)</f>
        <v>0</v>
      </c>
      <c r="F133" s="140">
        <f>SUM(F134,F135)</f>
        <v>6766.1000000000931</v>
      </c>
    </row>
    <row r="134" spans="2:7" ht="19.5" customHeight="1" x14ac:dyDescent="0.25">
      <c r="B134" s="32" t="s">
        <v>191</v>
      </c>
      <c r="C134" s="132" t="s">
        <v>184</v>
      </c>
      <c r="D134" s="141">
        <v>-1405162.2</v>
      </c>
      <c r="E134" s="141">
        <v>-1418491.8</v>
      </c>
      <c r="F134" s="141">
        <v>-2436187.9</v>
      </c>
      <c r="G134" s="13"/>
    </row>
    <row r="135" spans="2:7" ht="20.25" customHeight="1" x14ac:dyDescent="0.25">
      <c r="B135" s="32" t="s">
        <v>192</v>
      </c>
      <c r="C135" s="132" t="s">
        <v>185</v>
      </c>
      <c r="D135" s="141">
        <v>1403348.7</v>
      </c>
      <c r="E135" s="141">
        <v>1418491.7999999998</v>
      </c>
      <c r="F135" s="141">
        <v>2442954</v>
      </c>
      <c r="G135" s="13"/>
    </row>
    <row r="136" spans="2:7" ht="15.75" customHeight="1" x14ac:dyDescent="0.25"/>
    <row r="137" spans="2:7" x14ac:dyDescent="0.25">
      <c r="C137" s="38"/>
    </row>
  </sheetData>
  <mergeCells count="3">
    <mergeCell ref="C1:F1"/>
    <mergeCell ref="C78:F78"/>
    <mergeCell ref="C126:F126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Zeros="0" tabSelected="1" zoomScale="80" zoomScaleNormal="80" workbookViewId="0">
      <selection activeCell="J9" sqref="J9"/>
    </sheetView>
  </sheetViews>
  <sheetFormatPr defaultColWidth="4.42578125" defaultRowHeight="15" x14ac:dyDescent="0.2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 x14ac:dyDescent="0.25">
      <c r="A1" s="424" t="s">
        <v>557</v>
      </c>
      <c r="B1" s="424"/>
      <c r="C1" s="424"/>
    </row>
    <row r="2" spans="1:4" x14ac:dyDescent="0.25">
      <c r="D2" s="403" t="s">
        <v>42</v>
      </c>
    </row>
    <row r="3" spans="1:4" ht="81" customHeight="1" x14ac:dyDescent="0.25">
      <c r="A3" s="24" t="s">
        <v>43</v>
      </c>
      <c r="B3" s="25" t="s">
        <v>44</v>
      </c>
      <c r="C3" s="120" t="s">
        <v>556</v>
      </c>
      <c r="D3" s="121" t="s">
        <v>552</v>
      </c>
    </row>
    <row r="4" spans="1:4" ht="15.75" x14ac:dyDescent="0.25">
      <c r="A4" s="16" t="s">
        <v>123</v>
      </c>
      <c r="B4" s="17"/>
      <c r="C4" s="401">
        <f>SUM(C5,C32)</f>
        <v>1403491.7999999998</v>
      </c>
      <c r="D4" s="401">
        <f>SUM(D5,D32)</f>
        <v>2427954</v>
      </c>
    </row>
    <row r="5" spans="1:4" ht="15.75" x14ac:dyDescent="0.25">
      <c r="A5" s="16" t="s">
        <v>124</v>
      </c>
      <c r="B5" s="18"/>
      <c r="C5" s="401">
        <f>SUM(C6,C7,C10,C12,C15,C18,C22,C23,C27,C30)</f>
        <v>1118136.5999999999</v>
      </c>
      <c r="D5" s="401">
        <f>SUM(D6,D7,D10,D12,D15,D18,D22,D23,D27,D30)</f>
        <v>2115156.5</v>
      </c>
    </row>
    <row r="6" spans="1:4" ht="47.25" x14ac:dyDescent="0.25">
      <c r="A6" s="20" t="s">
        <v>425</v>
      </c>
      <c r="B6" s="28" t="s">
        <v>46</v>
      </c>
      <c r="C6" s="401">
        <v>755</v>
      </c>
      <c r="D6" s="401">
        <v>754.1</v>
      </c>
    </row>
    <row r="7" spans="1:4" ht="31.5" x14ac:dyDescent="0.25">
      <c r="A7" s="20" t="s">
        <v>426</v>
      </c>
      <c r="B7" s="28" t="s">
        <v>49</v>
      </c>
      <c r="C7" s="401">
        <f>SUM(C8:C9)</f>
        <v>844263.8</v>
      </c>
      <c r="D7" s="401">
        <f>SUM(D8:D9)</f>
        <v>892281.3</v>
      </c>
    </row>
    <row r="8" spans="1:4" s="19" customFormat="1" ht="31.5" x14ac:dyDescent="0.25">
      <c r="A8" s="111" t="s">
        <v>125</v>
      </c>
      <c r="B8" s="112" t="s">
        <v>126</v>
      </c>
      <c r="C8" s="113">
        <v>616535.10000000009</v>
      </c>
      <c r="D8" s="402">
        <v>655851.1</v>
      </c>
    </row>
    <row r="9" spans="1:4" s="19" customFormat="1" ht="31.5" x14ac:dyDescent="0.25">
      <c r="A9" s="111" t="s">
        <v>112</v>
      </c>
      <c r="B9" s="112" t="s">
        <v>127</v>
      </c>
      <c r="C9" s="113">
        <v>227728.7</v>
      </c>
      <c r="D9" s="402">
        <v>236430.2</v>
      </c>
    </row>
    <row r="10" spans="1:4" ht="33" customHeight="1" x14ac:dyDescent="0.25">
      <c r="A10" s="20" t="s">
        <v>424</v>
      </c>
      <c r="B10" s="28" t="s">
        <v>63</v>
      </c>
      <c r="C10" s="401">
        <f>SUM(C11)</f>
        <v>300</v>
      </c>
      <c r="D10" s="401">
        <f>SUM(D11)</f>
        <v>300</v>
      </c>
    </row>
    <row r="11" spans="1:4" s="19" customFormat="1" ht="15.75" x14ac:dyDescent="0.25">
      <c r="A11" s="111" t="s">
        <v>94</v>
      </c>
      <c r="B11" s="112" t="s">
        <v>128</v>
      </c>
      <c r="C11" s="113">
        <v>300</v>
      </c>
      <c r="D11" s="400">
        <v>300</v>
      </c>
    </row>
    <row r="12" spans="1:4" ht="31.5" x14ac:dyDescent="0.25">
      <c r="A12" s="20" t="s">
        <v>427</v>
      </c>
      <c r="B12" s="28" t="s">
        <v>53</v>
      </c>
      <c r="C12" s="401">
        <f>SUM(C13:C14)</f>
        <v>24406.6</v>
      </c>
      <c r="D12" s="401">
        <f>SUM(D13:D14)</f>
        <v>27383.8</v>
      </c>
    </row>
    <row r="13" spans="1:4" s="19" customFormat="1" ht="15.75" x14ac:dyDescent="0.25">
      <c r="A13" s="111" t="s">
        <v>111</v>
      </c>
      <c r="B13" s="112" t="s">
        <v>129</v>
      </c>
      <c r="C13" s="113">
        <v>2057.6</v>
      </c>
      <c r="D13" s="402">
        <v>4003.7</v>
      </c>
    </row>
    <row r="14" spans="1:4" s="19" customFormat="1" ht="31.5" x14ac:dyDescent="0.25">
      <c r="A14" s="111" t="s">
        <v>112</v>
      </c>
      <c r="B14" s="112" t="s">
        <v>130</v>
      </c>
      <c r="C14" s="113">
        <v>22349</v>
      </c>
      <c r="D14" s="402">
        <v>23380.1</v>
      </c>
    </row>
    <row r="15" spans="1:4" ht="31.5" x14ac:dyDescent="0.25">
      <c r="A15" s="20" t="s">
        <v>428</v>
      </c>
      <c r="B15" s="28" t="s">
        <v>56</v>
      </c>
      <c r="C15" s="401">
        <f>SUM(C16:C17)</f>
        <v>87051.299999999988</v>
      </c>
      <c r="D15" s="401">
        <f>SUM(D16:D17)</f>
        <v>1005197.1</v>
      </c>
    </row>
    <row r="16" spans="1:4" s="19" customFormat="1" ht="15.75" x14ac:dyDescent="0.25">
      <c r="A16" s="111" t="s">
        <v>84</v>
      </c>
      <c r="B16" s="112" t="s">
        <v>131</v>
      </c>
      <c r="C16" s="113">
        <v>52684.899999999994</v>
      </c>
      <c r="D16" s="402">
        <v>75226.5</v>
      </c>
    </row>
    <row r="17" spans="1:4" s="19" customFormat="1" ht="15.75" customHeight="1" x14ac:dyDescent="0.25">
      <c r="A17" s="111" t="s">
        <v>85</v>
      </c>
      <c r="B17" s="112" t="s">
        <v>132</v>
      </c>
      <c r="C17" s="22">
        <v>34366.400000000001</v>
      </c>
      <c r="D17" s="402">
        <v>929970.6</v>
      </c>
    </row>
    <row r="18" spans="1:4" ht="31.5" x14ac:dyDescent="0.25">
      <c r="A18" s="20" t="s">
        <v>429</v>
      </c>
      <c r="B18" s="28" t="s">
        <v>91</v>
      </c>
      <c r="C18" s="401">
        <f>SUM(C19:C21)</f>
        <v>34973</v>
      </c>
      <c r="D18" s="401">
        <f>SUM(D19:D21)</f>
        <v>20320.599999999999</v>
      </c>
    </row>
    <row r="19" spans="1:4" s="19" customFormat="1" ht="15.75" x14ac:dyDescent="0.25">
      <c r="A19" s="111" t="s">
        <v>74</v>
      </c>
      <c r="B19" s="112" t="s">
        <v>133</v>
      </c>
      <c r="C19" s="113">
        <v>13838.2</v>
      </c>
      <c r="D19" s="402">
        <v>13838.2</v>
      </c>
    </row>
    <row r="20" spans="1:4" s="19" customFormat="1" ht="15.75" x14ac:dyDescent="0.25">
      <c r="A20" s="111" t="s">
        <v>77</v>
      </c>
      <c r="B20" s="112" t="s">
        <v>134</v>
      </c>
      <c r="C20" s="113">
        <v>10413.9</v>
      </c>
      <c r="D20" s="402">
        <v>5492.4</v>
      </c>
    </row>
    <row r="21" spans="1:4" s="19" customFormat="1" ht="15.75" x14ac:dyDescent="0.25">
      <c r="A21" s="111" t="s">
        <v>80</v>
      </c>
      <c r="B21" s="112" t="s">
        <v>135</v>
      </c>
      <c r="C21" s="113">
        <v>10720.9</v>
      </c>
      <c r="D21" s="402">
        <v>990</v>
      </c>
    </row>
    <row r="22" spans="1:4" ht="31.5" x14ac:dyDescent="0.25">
      <c r="A22" s="20" t="s">
        <v>430</v>
      </c>
      <c r="B22" s="28" t="s">
        <v>100</v>
      </c>
      <c r="C22" s="401">
        <v>54671.599999999991</v>
      </c>
      <c r="D22" s="401">
        <v>94646.399999999994</v>
      </c>
    </row>
    <row r="23" spans="1:4" ht="31.5" x14ac:dyDescent="0.25">
      <c r="A23" s="20" t="s">
        <v>431</v>
      </c>
      <c r="B23" s="28" t="s">
        <v>73</v>
      </c>
      <c r="C23" s="401">
        <f>SUM(C24:C26)</f>
        <v>68165.3</v>
      </c>
      <c r="D23" s="401">
        <f>SUM(D24:D26)</f>
        <v>70723.199999999997</v>
      </c>
    </row>
    <row r="24" spans="1:4" s="19" customFormat="1" ht="36.75" customHeight="1" x14ac:dyDescent="0.25">
      <c r="A24" s="395" t="s">
        <v>95</v>
      </c>
      <c r="B24" s="396" t="s">
        <v>136</v>
      </c>
      <c r="C24" s="113">
        <v>10101.1</v>
      </c>
      <c r="D24" s="402">
        <v>12486.6</v>
      </c>
    </row>
    <row r="25" spans="1:4" s="19" customFormat="1" ht="31.5" x14ac:dyDescent="0.25">
      <c r="A25" s="111" t="s">
        <v>432</v>
      </c>
      <c r="B25" s="396" t="s">
        <v>137</v>
      </c>
      <c r="C25" s="113">
        <v>58064.200000000004</v>
      </c>
      <c r="D25" s="402">
        <v>58236.6</v>
      </c>
    </row>
    <row r="26" spans="1:4" s="19" customFormat="1" ht="21" customHeight="1" x14ac:dyDescent="0.25">
      <c r="A26" s="395" t="s">
        <v>96</v>
      </c>
      <c r="B26" s="396" t="s">
        <v>138</v>
      </c>
      <c r="C26" s="113">
        <v>0</v>
      </c>
      <c r="D26" s="402"/>
    </row>
    <row r="27" spans="1:4" ht="31.5" x14ac:dyDescent="0.25">
      <c r="A27" s="26" t="s">
        <v>433</v>
      </c>
      <c r="B27" s="28" t="s">
        <v>76</v>
      </c>
      <c r="C27" s="401">
        <f>SUM(C28:C29)</f>
        <v>3450</v>
      </c>
      <c r="D27" s="401">
        <f>SUM(D28:D29)</f>
        <v>3450</v>
      </c>
    </row>
    <row r="28" spans="1:4" s="31" customFormat="1" ht="31.5" x14ac:dyDescent="0.25">
      <c r="A28" s="111" t="s">
        <v>434</v>
      </c>
      <c r="B28" s="28"/>
      <c r="C28" s="113">
        <v>1925</v>
      </c>
      <c r="D28" s="402">
        <v>1925</v>
      </c>
    </row>
    <row r="29" spans="1:4" s="31" customFormat="1" ht="47.25" x14ac:dyDescent="0.25">
      <c r="A29" s="111" t="s">
        <v>435</v>
      </c>
      <c r="B29" s="28"/>
      <c r="C29" s="113">
        <v>1525</v>
      </c>
      <c r="D29" s="402">
        <v>1525</v>
      </c>
    </row>
    <row r="30" spans="1:4" s="31" customFormat="1" ht="47.25" x14ac:dyDescent="0.25">
      <c r="A30" s="26" t="s">
        <v>436</v>
      </c>
      <c r="B30" s="28"/>
      <c r="C30" s="401">
        <f>SUM(C31)</f>
        <v>100</v>
      </c>
      <c r="D30" s="401">
        <f>SUM(D31)</f>
        <v>100</v>
      </c>
    </row>
    <row r="31" spans="1:4" s="31" customFormat="1" ht="31.5" x14ac:dyDescent="0.25">
      <c r="A31" s="111" t="s">
        <v>437</v>
      </c>
      <c r="B31" s="28"/>
      <c r="C31" s="113">
        <v>100</v>
      </c>
      <c r="D31" s="402">
        <v>100</v>
      </c>
    </row>
    <row r="32" spans="1:4" s="27" customFormat="1" ht="15.75" x14ac:dyDescent="0.25">
      <c r="A32" s="115" t="s">
        <v>139</v>
      </c>
      <c r="B32" s="28"/>
      <c r="C32" s="401">
        <f>SUM(C33,C37,C40,C43,C45,C47)</f>
        <v>285355.2</v>
      </c>
      <c r="D32" s="401">
        <f>SUM(D33,D37,D40,D43,D45,D47)</f>
        <v>312797.5</v>
      </c>
    </row>
    <row r="33" spans="1:4" ht="31.5" x14ac:dyDescent="0.25">
      <c r="A33" s="20" t="s">
        <v>50</v>
      </c>
      <c r="B33" s="28" t="s">
        <v>140</v>
      </c>
      <c r="C33" s="401">
        <f>SUM(C34:C35)</f>
        <v>77990.499999999985</v>
      </c>
      <c r="D33" s="401">
        <f>SUM(D34:D35)</f>
        <v>85171.7</v>
      </c>
    </row>
    <row r="34" spans="1:4" s="19" customFormat="1" ht="15.75" x14ac:dyDescent="0.25">
      <c r="A34" s="21" t="s">
        <v>51</v>
      </c>
      <c r="B34" s="114" t="s">
        <v>141</v>
      </c>
      <c r="C34" s="22">
        <v>5060.8999999999996</v>
      </c>
      <c r="D34" s="400">
        <v>6645</v>
      </c>
    </row>
    <row r="35" spans="1:4" s="19" customFormat="1" ht="15.75" x14ac:dyDescent="0.25">
      <c r="A35" s="21" t="s">
        <v>54</v>
      </c>
      <c r="B35" s="114" t="s">
        <v>143</v>
      </c>
      <c r="C35" s="22">
        <v>72929.599999999991</v>
      </c>
      <c r="D35" s="400">
        <v>78526.7</v>
      </c>
    </row>
    <row r="36" spans="1:4" ht="47.25" hidden="1" x14ac:dyDescent="0.25">
      <c r="A36" s="116" t="s">
        <v>144</v>
      </c>
      <c r="B36" s="114" t="s">
        <v>64</v>
      </c>
      <c r="C36" s="22">
        <v>0</v>
      </c>
      <c r="D36" s="400"/>
    </row>
    <row r="37" spans="1:4" ht="31.5" x14ac:dyDescent="0.25">
      <c r="A37" s="20" t="s">
        <v>61</v>
      </c>
      <c r="B37" s="28" t="s">
        <v>145</v>
      </c>
      <c r="C37" s="401">
        <f>SUM(C38:C39)</f>
        <v>165784.29999999999</v>
      </c>
      <c r="D37" s="401">
        <f>SUM(D38:D39)</f>
        <v>186138.6</v>
      </c>
    </row>
    <row r="38" spans="1:4" s="19" customFormat="1" ht="31.5" x14ac:dyDescent="0.25">
      <c r="A38" s="21" t="s">
        <v>62</v>
      </c>
      <c r="B38" s="114" t="s">
        <v>146</v>
      </c>
      <c r="C38" s="22">
        <v>69431.099999999991</v>
      </c>
      <c r="D38" s="400">
        <v>86278.1</v>
      </c>
    </row>
    <row r="39" spans="1:4" s="19" customFormat="1" ht="15.75" x14ac:dyDescent="0.25">
      <c r="A39" s="21" t="s">
        <v>108</v>
      </c>
      <c r="B39" s="114" t="s">
        <v>147</v>
      </c>
      <c r="C39" s="22">
        <v>96353.2</v>
      </c>
      <c r="D39" s="400">
        <v>99860.5</v>
      </c>
    </row>
    <row r="40" spans="1:4" ht="15.75" x14ac:dyDescent="0.25">
      <c r="A40" s="20" t="s">
        <v>57</v>
      </c>
      <c r="B40" s="28" t="s">
        <v>148</v>
      </c>
      <c r="C40" s="401">
        <f>SUM(C41:C42)</f>
        <v>35411</v>
      </c>
      <c r="D40" s="401">
        <f>SUM(D41:D42)</f>
        <v>35211.199999999997</v>
      </c>
    </row>
    <row r="41" spans="1:4" s="19" customFormat="1" ht="15.75" x14ac:dyDescent="0.25">
      <c r="A41" s="21" t="s">
        <v>58</v>
      </c>
      <c r="B41" s="114" t="s">
        <v>149</v>
      </c>
      <c r="C41" s="22">
        <v>25453.800000000003</v>
      </c>
      <c r="D41" s="400">
        <v>25226.2</v>
      </c>
    </row>
    <row r="42" spans="1:4" s="27" customFormat="1" ht="15.75" x14ac:dyDescent="0.25">
      <c r="A42" s="21" t="s">
        <v>98</v>
      </c>
      <c r="B42" s="114" t="s">
        <v>150</v>
      </c>
      <c r="C42" s="22">
        <v>9957.2000000000007</v>
      </c>
      <c r="D42" s="400">
        <v>9985</v>
      </c>
    </row>
    <row r="43" spans="1:4" ht="15.75" x14ac:dyDescent="0.25">
      <c r="A43" s="20" t="s">
        <v>114</v>
      </c>
      <c r="B43" s="28" t="s">
        <v>151</v>
      </c>
      <c r="C43" s="401">
        <f>SUM(C44)</f>
        <v>50</v>
      </c>
      <c r="D43" s="401">
        <f>SUM(D44)</f>
        <v>50</v>
      </c>
    </row>
    <row r="44" spans="1:4" s="19" customFormat="1" ht="15.75" x14ac:dyDescent="0.25">
      <c r="A44" s="21" t="s">
        <v>116</v>
      </c>
      <c r="B44" s="114" t="s">
        <v>152</v>
      </c>
      <c r="C44" s="22">
        <v>50</v>
      </c>
      <c r="D44" s="411">
        <v>50</v>
      </c>
    </row>
    <row r="45" spans="1:4" ht="15.75" x14ac:dyDescent="0.25">
      <c r="A45" s="20" t="s">
        <v>117</v>
      </c>
      <c r="B45" s="28" t="s">
        <v>153</v>
      </c>
      <c r="C45" s="401">
        <f>SUM(C46)</f>
        <v>3775</v>
      </c>
      <c r="D45" s="401">
        <f>SUM(D46)</f>
        <v>3775</v>
      </c>
    </row>
    <row r="46" spans="1:4" s="19" customFormat="1" ht="16.5" customHeight="1" x14ac:dyDescent="0.25">
      <c r="A46" s="21" t="s">
        <v>119</v>
      </c>
      <c r="B46" s="114" t="s">
        <v>154</v>
      </c>
      <c r="C46" s="22">
        <v>3775</v>
      </c>
      <c r="D46" s="400">
        <v>3775</v>
      </c>
    </row>
    <row r="47" spans="1:4" ht="15.75" x14ac:dyDescent="0.25">
      <c r="A47" s="20" t="s">
        <v>120</v>
      </c>
      <c r="B47" s="28" t="s">
        <v>155</v>
      </c>
      <c r="C47" s="401">
        <f>SUM(C48)</f>
        <v>2344.4</v>
      </c>
      <c r="D47" s="401">
        <f>SUM(D48)</f>
        <v>2451</v>
      </c>
    </row>
    <row r="48" spans="1:4" s="19" customFormat="1" ht="31.5" x14ac:dyDescent="0.25">
      <c r="A48" s="21" t="s">
        <v>121</v>
      </c>
      <c r="B48" s="114" t="s">
        <v>156</v>
      </c>
      <c r="C48" s="22">
        <v>2344.4</v>
      </c>
      <c r="D48" s="400">
        <v>2451</v>
      </c>
    </row>
    <row r="49" spans="1:3" ht="96" hidden="1" customHeight="1" x14ac:dyDescent="0.25">
      <c r="A49" s="397" t="s">
        <v>142</v>
      </c>
      <c r="B49" s="398" t="s">
        <v>122</v>
      </c>
      <c r="C49" s="399" t="e">
        <f>#REF!+#REF!+#REF!</f>
        <v>#REF!</v>
      </c>
    </row>
    <row r="54" spans="1:3" x14ac:dyDescent="0.25">
      <c r="C54" s="29"/>
    </row>
    <row r="56" spans="1:3" x14ac:dyDescent="0.25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24" sqref="AY24"/>
    </sheetView>
  </sheetViews>
  <sheetFormatPr defaultRowHeight="12.75" x14ac:dyDescent="0.2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 x14ac:dyDescent="0.25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2"/>
      <c r="O1" s="142"/>
      <c r="P1" s="143"/>
      <c r="Q1" s="51"/>
    </row>
    <row r="2" spans="1:53" s="145" customFormat="1" ht="32.25" customHeight="1" thickBot="1" x14ac:dyDescent="0.3">
      <c r="A2" s="446" t="s">
        <v>441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144"/>
      <c r="AW2" s="447"/>
      <c r="AX2" s="447"/>
      <c r="AY2" s="447"/>
      <c r="AZ2" s="447"/>
      <c r="BA2" s="447"/>
    </row>
    <row r="3" spans="1:53" s="145" customFormat="1" x14ac:dyDescent="0.2">
      <c r="A3" s="448" t="s">
        <v>212</v>
      </c>
      <c r="B3" s="450" t="s">
        <v>213</v>
      </c>
      <c r="C3" s="103" t="s">
        <v>214</v>
      </c>
      <c r="D3" s="103" t="s">
        <v>214</v>
      </c>
      <c r="E3" s="103" t="s">
        <v>214</v>
      </c>
      <c r="F3" s="103" t="s">
        <v>214</v>
      </c>
      <c r="G3" s="103" t="s">
        <v>214</v>
      </c>
      <c r="H3" s="103" t="s">
        <v>214</v>
      </c>
      <c r="I3" s="103" t="s">
        <v>214</v>
      </c>
      <c r="J3" s="103" t="s">
        <v>214</v>
      </c>
      <c r="K3" s="103" t="s">
        <v>214</v>
      </c>
      <c r="L3" s="103" t="s">
        <v>214</v>
      </c>
      <c r="M3" s="103" t="s">
        <v>215</v>
      </c>
      <c r="N3" s="450" t="s">
        <v>216</v>
      </c>
      <c r="O3" s="452"/>
      <c r="P3" s="453"/>
      <c r="Q3" s="144"/>
    </row>
    <row r="4" spans="1:53" s="145" customFormat="1" ht="18.75" customHeight="1" x14ac:dyDescent="0.2">
      <c r="A4" s="449"/>
      <c r="B4" s="451"/>
      <c r="C4" s="146" t="s">
        <v>217</v>
      </c>
      <c r="D4" s="146" t="s">
        <v>218</v>
      </c>
      <c r="E4" s="146" t="s">
        <v>219</v>
      </c>
      <c r="F4" s="146" t="s">
        <v>220</v>
      </c>
      <c r="G4" s="146" t="s">
        <v>221</v>
      </c>
      <c r="H4" s="146" t="s">
        <v>222</v>
      </c>
      <c r="I4" s="146" t="s">
        <v>223</v>
      </c>
      <c r="J4" s="146" t="s">
        <v>224</v>
      </c>
      <c r="K4" s="146" t="s">
        <v>225</v>
      </c>
      <c r="L4" s="146">
        <v>2017</v>
      </c>
      <c r="M4" s="146" t="s">
        <v>226</v>
      </c>
      <c r="N4" s="146" t="s">
        <v>313</v>
      </c>
      <c r="O4" s="146" t="s">
        <v>414</v>
      </c>
      <c r="P4" s="52" t="s">
        <v>442</v>
      </c>
      <c r="Q4" s="147"/>
      <c r="R4" s="148"/>
      <c r="S4" s="149"/>
    </row>
    <row r="5" spans="1:53" s="145" customFormat="1" ht="16.5" customHeight="1" x14ac:dyDescent="0.2">
      <c r="A5" s="431" t="s">
        <v>443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7"/>
      <c r="Q5" s="150"/>
      <c r="R5" s="151"/>
    </row>
    <row r="6" spans="1:53" s="161" customFormat="1" ht="15" x14ac:dyDescent="0.25">
      <c r="A6" s="152" t="s">
        <v>227</v>
      </c>
      <c r="B6" s="153" t="s">
        <v>228</v>
      </c>
      <c r="C6" s="154">
        <v>6.0190000000000001</v>
      </c>
      <c r="D6" s="155">
        <v>5.8970000000000002</v>
      </c>
      <c r="E6" s="155">
        <v>5.2770000000000001</v>
      </c>
      <c r="F6" s="155">
        <v>5.3520000000000003</v>
      </c>
      <c r="G6" s="155">
        <v>5.141</v>
      </c>
      <c r="H6" s="156">
        <v>5.1970000000000001</v>
      </c>
      <c r="I6" s="156">
        <v>5.1219999999999999</v>
      </c>
      <c r="J6" s="156">
        <v>4.8140000000000001</v>
      </c>
      <c r="K6" s="156">
        <v>4.6920000000000002</v>
      </c>
      <c r="L6" s="156">
        <v>4.734</v>
      </c>
      <c r="M6" s="156">
        <v>4.75</v>
      </c>
      <c r="N6" s="156">
        <v>4.8</v>
      </c>
      <c r="O6" s="156">
        <v>4.8499999999999996</v>
      </c>
      <c r="P6" s="157">
        <v>4.9000000000000004</v>
      </c>
      <c r="Q6" s="158"/>
      <c r="R6" s="159">
        <f>M6+L6</f>
        <v>9.484</v>
      </c>
      <c r="S6" s="160"/>
    </row>
    <row r="7" spans="1:53" s="161" customFormat="1" ht="15" x14ac:dyDescent="0.25">
      <c r="A7" s="440" t="s">
        <v>229</v>
      </c>
      <c r="B7" s="441"/>
      <c r="C7" s="162">
        <f>SUM((C6/(2202+3923)*100))</f>
        <v>9.8269387755102036E-2</v>
      </c>
      <c r="D7" s="162">
        <f>SUM(D6/C6*100)</f>
        <v>97.973085230104672</v>
      </c>
      <c r="E7" s="163">
        <f>SUM((E6/D6)*100)</f>
        <v>89.486179413260984</v>
      </c>
      <c r="F7" s="163">
        <f>SUM((F6/E6)*100)</f>
        <v>101.42126208072769</v>
      </c>
      <c r="G7" s="163">
        <f t="shared" ref="G7:M7" si="0">SUM(G6/F6*100)</f>
        <v>96.057548579970103</v>
      </c>
      <c r="H7" s="163">
        <f t="shared" si="0"/>
        <v>101.08928224080917</v>
      </c>
      <c r="I7" s="163">
        <f t="shared" si="0"/>
        <v>98.556859726765438</v>
      </c>
      <c r="J7" s="164">
        <f t="shared" si="0"/>
        <v>93.986723935962516</v>
      </c>
      <c r="K7" s="164">
        <f t="shared" si="0"/>
        <v>97.465724968840888</v>
      </c>
      <c r="L7" s="164">
        <f t="shared" si="0"/>
        <v>100.89514066496163</v>
      </c>
      <c r="M7" s="164">
        <f t="shared" si="0"/>
        <v>100.33798056611745</v>
      </c>
      <c r="N7" s="164">
        <f>SUM(N6/M6*100)</f>
        <v>101.05263157894737</v>
      </c>
      <c r="O7" s="164">
        <f>SUM((O6/N6)*100)</f>
        <v>101.04166666666667</v>
      </c>
      <c r="P7" s="165">
        <f>SUM((P6/O6)*100)</f>
        <v>101.03092783505157</v>
      </c>
      <c r="Q7" s="166"/>
      <c r="R7" s="159">
        <f>R6/2</f>
        <v>4.742</v>
      </c>
    </row>
    <row r="8" spans="1:53" s="161" customFormat="1" ht="15" x14ac:dyDescent="0.25">
      <c r="A8" s="152" t="s">
        <v>230</v>
      </c>
      <c r="B8" s="153" t="s">
        <v>228</v>
      </c>
      <c r="C8" s="154">
        <f>492+652+2349</f>
        <v>3493</v>
      </c>
      <c r="D8" s="155">
        <v>3.4350000000000001</v>
      </c>
      <c r="E8" s="155">
        <v>3.258</v>
      </c>
      <c r="F8" s="155">
        <v>3.1680000000000001</v>
      </c>
      <c r="G8" s="155">
        <v>3.0579999999999998</v>
      </c>
      <c r="H8" s="156">
        <v>3.1930000000000001</v>
      </c>
      <c r="I8" s="156">
        <v>3.2</v>
      </c>
      <c r="J8" s="156">
        <f>2.815+0.155</f>
        <v>2.9699999999999998</v>
      </c>
      <c r="K8" s="156">
        <v>2.86</v>
      </c>
      <c r="L8" s="156">
        <v>3.0390000000000001</v>
      </c>
      <c r="M8" s="156">
        <v>3.0449999999999999</v>
      </c>
      <c r="N8" s="156">
        <v>3.05</v>
      </c>
      <c r="O8" s="156">
        <v>3.08</v>
      </c>
      <c r="P8" s="157">
        <v>3.1</v>
      </c>
      <c r="Q8" s="158"/>
      <c r="R8" s="159"/>
    </row>
    <row r="9" spans="1:53" s="161" customFormat="1" ht="15" x14ac:dyDescent="0.25">
      <c r="A9" s="440" t="s">
        <v>229</v>
      </c>
      <c r="B9" s="441"/>
      <c r="C9" s="163">
        <f>SUM(C8/3559*100)</f>
        <v>98.14554650182636</v>
      </c>
      <c r="D9" s="163">
        <f>SUM(D8/C8*100)</f>
        <v>9.8339536215287709E-2</v>
      </c>
      <c r="E9" s="163">
        <f>SUM(E8/D8*100)</f>
        <v>94.8471615720524</v>
      </c>
      <c r="F9" s="163">
        <f>SUM(F8/E8*100)</f>
        <v>97.237569060773481</v>
      </c>
      <c r="G9" s="163">
        <f t="shared" ref="G9:M9" si="1">SUM(G8/F8*100)</f>
        <v>96.527777777777771</v>
      </c>
      <c r="H9" s="163">
        <f t="shared" si="1"/>
        <v>104.41465009810334</v>
      </c>
      <c r="I9" s="163">
        <f t="shared" si="1"/>
        <v>100.21922956467273</v>
      </c>
      <c r="J9" s="164">
        <f t="shared" si="1"/>
        <v>92.812499999999986</v>
      </c>
      <c r="K9" s="164">
        <f t="shared" si="1"/>
        <v>96.296296296296305</v>
      </c>
      <c r="L9" s="164">
        <f t="shared" si="1"/>
        <v>106.25874125874127</v>
      </c>
      <c r="M9" s="164">
        <f t="shared" si="1"/>
        <v>100.1974333662389</v>
      </c>
      <c r="N9" s="164">
        <f>SUM(N8/M8*100)</f>
        <v>100.16420361247947</v>
      </c>
      <c r="O9" s="164">
        <f>SUM(O8/N8*100)</f>
        <v>100.98360655737706</v>
      </c>
      <c r="P9" s="165">
        <f>SUM(P8/O8*100)</f>
        <v>100.64935064935065</v>
      </c>
      <c r="Q9" s="167"/>
      <c r="R9" s="168"/>
    </row>
    <row r="10" spans="1:53" s="161" customFormat="1" ht="15" x14ac:dyDescent="0.25">
      <c r="A10" s="152" t="s">
        <v>231</v>
      </c>
      <c r="B10" s="153" t="s">
        <v>228</v>
      </c>
      <c r="C10" s="154">
        <f t="shared" ref="C10:P10" si="2">C6-C8</f>
        <v>-3486.9810000000002</v>
      </c>
      <c r="D10" s="155">
        <f t="shared" si="2"/>
        <v>2.4620000000000002</v>
      </c>
      <c r="E10" s="155">
        <f>E6-E8</f>
        <v>2.0190000000000001</v>
      </c>
      <c r="F10" s="155">
        <f>F6-F8</f>
        <v>2.1840000000000002</v>
      </c>
      <c r="G10" s="155">
        <f t="shared" si="2"/>
        <v>2.0830000000000002</v>
      </c>
      <c r="H10" s="156">
        <f>H6-H8+0.01</f>
        <v>2.0139999999999998</v>
      </c>
      <c r="I10" s="156">
        <f>I6-I8</f>
        <v>1.9219999999999997</v>
      </c>
      <c r="J10" s="156">
        <f t="shared" si="2"/>
        <v>1.8440000000000003</v>
      </c>
      <c r="K10" s="156">
        <f t="shared" si="2"/>
        <v>1.8320000000000003</v>
      </c>
      <c r="L10" s="156">
        <f>L6-L8</f>
        <v>1.6949999999999998</v>
      </c>
      <c r="M10" s="156">
        <f>M6-M8</f>
        <v>1.7050000000000001</v>
      </c>
      <c r="N10" s="156">
        <f t="shared" si="2"/>
        <v>1.75</v>
      </c>
      <c r="O10" s="156">
        <f t="shared" si="2"/>
        <v>1.7699999999999996</v>
      </c>
      <c r="P10" s="157">
        <f t="shared" si="2"/>
        <v>1.8000000000000003</v>
      </c>
      <c r="Q10" s="169"/>
      <c r="R10" s="169"/>
      <c r="S10" s="170"/>
      <c r="T10" s="170"/>
      <c r="U10" s="170"/>
      <c r="V10" s="170"/>
    </row>
    <row r="11" spans="1:53" s="145" customFormat="1" ht="16.5" customHeight="1" x14ac:dyDescent="0.2">
      <c r="A11" s="431" t="s">
        <v>232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7"/>
      <c r="Q11" s="150"/>
      <c r="R11" s="171"/>
      <c r="S11" s="172"/>
      <c r="T11" s="172"/>
      <c r="U11" s="172"/>
      <c r="V11" s="172"/>
    </row>
    <row r="12" spans="1:53" s="161" customFormat="1" ht="15" x14ac:dyDescent="0.25">
      <c r="A12" s="428" t="s">
        <v>444</v>
      </c>
      <c r="B12" s="438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30"/>
      <c r="Q12" s="173"/>
      <c r="R12" s="174"/>
      <c r="S12" s="170"/>
      <c r="T12" s="170"/>
      <c r="U12" s="170"/>
      <c r="V12" s="175"/>
    </row>
    <row r="13" spans="1:53" s="161" customFormat="1" ht="15" x14ac:dyDescent="0.25">
      <c r="A13" s="176" t="s">
        <v>233</v>
      </c>
      <c r="B13" s="177" t="s">
        <v>234</v>
      </c>
      <c r="C13" s="178">
        <f>182.842+293.508+176.248+7.989+380.445+34.892+62.635+2.06</f>
        <v>1140.6189999999999</v>
      </c>
      <c r="D13" s="178">
        <v>1879.3</v>
      </c>
      <c r="E13" s="178">
        <f>390.6+793.14*1000*1700/1000000</f>
        <v>1738.9380000000001</v>
      </c>
      <c r="F13" s="178">
        <f>413+413+837.79*1000*1700/1000000</f>
        <v>2250.2429999999999</v>
      </c>
      <c r="G13" s="179">
        <f>617.4+607.4+1089.505*1000*1600/1000000</f>
        <v>2968.0079999999998</v>
      </c>
      <c r="H13" s="179">
        <f>655.1+381+1072*1000*1400/1000000</f>
        <v>2536.8999999999996</v>
      </c>
      <c r="I13" s="179">
        <f>668.3+368+1047.144*1000*1729/1000000</f>
        <v>2846.811976</v>
      </c>
      <c r="J13" s="179">
        <f>680.4+433.3+1007.06*1000*2329.75/1000000</f>
        <v>3459.8980350000002</v>
      </c>
      <c r="K13" s="179">
        <f>700+492.8+202.7+985.788*1000*2260.43/1000000</f>
        <v>3623.8047688399997</v>
      </c>
      <c r="L13" s="180">
        <f>526.814+370.2+178.597+1063.659*1000*2366/1000000</f>
        <v>3592.2281939999998</v>
      </c>
      <c r="M13" s="180">
        <f>574.495+368.8+193.254+1063.659*1000*2620/1000000</f>
        <v>3923.3355799999999</v>
      </c>
      <c r="N13" s="180">
        <f>658.809+379+189.829+1100*1000*2650/1000000</f>
        <v>4142.6379999999999</v>
      </c>
      <c r="O13" s="180">
        <f>(600+438+189)*101%+(1100*1000*2700/1000000)</f>
        <v>4209.2700000000004</v>
      </c>
      <c r="P13" s="181">
        <f>(600+438+189)*102%+(1100*1000*2750/1000000)</f>
        <v>4276.54</v>
      </c>
      <c r="Q13" s="182"/>
      <c r="R13" s="174"/>
      <c r="S13" s="183"/>
      <c r="T13" s="184"/>
      <c r="Y13" s="185"/>
    </row>
    <row r="14" spans="1:53" s="161" customFormat="1" ht="15" x14ac:dyDescent="0.25">
      <c r="A14" s="440" t="s">
        <v>235</v>
      </c>
      <c r="B14" s="441"/>
      <c r="C14" s="186"/>
      <c r="D14" s="186">
        <f t="shared" ref="D14:P14" si="3">D13/C13*100</f>
        <v>164.76141463538659</v>
      </c>
      <c r="E14" s="186">
        <f t="shared" si="3"/>
        <v>92.53115521736818</v>
      </c>
      <c r="F14" s="186">
        <f t="shared" si="3"/>
        <v>129.40329097414627</v>
      </c>
      <c r="G14" s="186">
        <f t="shared" si="3"/>
        <v>131.89722176671586</v>
      </c>
      <c r="H14" s="186">
        <f t="shared" si="3"/>
        <v>85.47483699504852</v>
      </c>
      <c r="I14" s="186">
        <f t="shared" si="3"/>
        <v>112.21616839449725</v>
      </c>
      <c r="J14" s="187">
        <f t="shared" si="3"/>
        <v>121.53588168690493</v>
      </c>
      <c r="K14" s="187">
        <f t="shared" si="3"/>
        <v>104.73732844673268</v>
      </c>
      <c r="L14" s="187">
        <f t="shared" si="3"/>
        <v>99.128634767757987</v>
      </c>
      <c r="M14" s="187">
        <f t="shared" si="3"/>
        <v>109.21732607502608</v>
      </c>
      <c r="N14" s="187">
        <f t="shared" si="3"/>
        <v>105.58969314574922</v>
      </c>
      <c r="O14" s="187">
        <f t="shared" si="3"/>
        <v>101.60844370181515</v>
      </c>
      <c r="P14" s="188">
        <f t="shared" si="3"/>
        <v>101.598139344827</v>
      </c>
      <c r="Q14" s="189"/>
      <c r="R14" s="174"/>
      <c r="S14" s="170"/>
      <c r="T14" s="170"/>
      <c r="U14" s="170"/>
      <c r="V14" s="170"/>
      <c r="Y14" s="190"/>
      <c r="Z14" s="185"/>
    </row>
    <row r="15" spans="1:53" s="161" customFormat="1" ht="15" x14ac:dyDescent="0.25">
      <c r="A15" s="428" t="s">
        <v>237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30"/>
      <c r="Q15" s="173"/>
      <c r="R15" s="174"/>
      <c r="S15" s="170"/>
      <c r="T15" s="170"/>
      <c r="U15" s="170"/>
      <c r="V15" s="170"/>
    </row>
    <row r="16" spans="1:53" s="161" customFormat="1" ht="15" x14ac:dyDescent="0.25">
      <c r="A16" s="428" t="s">
        <v>445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30"/>
      <c r="Q16" s="173"/>
      <c r="R16" s="174"/>
      <c r="S16" s="170"/>
    </row>
    <row r="17" spans="1:18" s="161" customFormat="1" ht="15" x14ac:dyDescent="0.25">
      <c r="A17" s="152" t="s">
        <v>233</v>
      </c>
      <c r="B17" s="177" t="s">
        <v>238</v>
      </c>
      <c r="C17" s="191">
        <f>293.508+34.892</f>
        <v>328.4</v>
      </c>
      <c r="D17" s="191">
        <v>409.4</v>
      </c>
      <c r="E17" s="191">
        <f>390.6</f>
        <v>390.6</v>
      </c>
      <c r="F17" s="191">
        <f>413+53.4</f>
        <v>466.4</v>
      </c>
      <c r="G17" s="191">
        <f>617.4+94.6</f>
        <v>712</v>
      </c>
      <c r="H17" s="191">
        <f>655.1+71</f>
        <v>726.1</v>
      </c>
      <c r="I17" s="191">
        <v>735.3</v>
      </c>
      <c r="J17" s="191">
        <v>785</v>
      </c>
      <c r="K17" s="191">
        <f>391+121.3</f>
        <v>512.29999999999995</v>
      </c>
      <c r="L17" s="191">
        <f>180.73+33.7</f>
        <v>214.43</v>
      </c>
      <c r="M17" s="191">
        <f>196.848+33</f>
        <v>229.84800000000001</v>
      </c>
      <c r="N17" s="191">
        <f>231.817+34</f>
        <v>265.81700000000001</v>
      </c>
      <c r="O17" s="191">
        <v>270</v>
      </c>
      <c r="P17" s="192">
        <v>290</v>
      </c>
      <c r="Q17" s="193"/>
      <c r="R17" s="194"/>
    </row>
    <row r="18" spans="1:18" s="161" customFormat="1" ht="15" x14ac:dyDescent="0.25">
      <c r="A18" s="440" t="s">
        <v>235</v>
      </c>
      <c r="B18" s="441"/>
      <c r="C18" s="195"/>
      <c r="D18" s="196">
        <f>SUM((D17/C17)*100)</f>
        <v>124.66504263093788</v>
      </c>
      <c r="E18" s="196">
        <f>SUM((E17/D17)*100)</f>
        <v>95.407914020517836</v>
      </c>
      <c r="F18" s="196">
        <f>SUM((F17/E17)*100)</f>
        <v>119.40604198668714</v>
      </c>
      <c r="G18" s="196">
        <f>SUM((G17/F17)*100)</f>
        <v>152.65866209262435</v>
      </c>
      <c r="H18" s="196">
        <f>SUM((H17/G17)*100)</f>
        <v>101.98033707865169</v>
      </c>
      <c r="I18" s="196">
        <f>SUM((I17/G17)*100)</f>
        <v>103.27247191011236</v>
      </c>
      <c r="J18" s="196">
        <f t="shared" ref="J18:P18" si="4">SUM((J17/I17)*100)</f>
        <v>106.7591459268326</v>
      </c>
      <c r="K18" s="196">
        <f t="shared" si="4"/>
        <v>65.261146496815286</v>
      </c>
      <c r="L18" s="196">
        <f t="shared" si="4"/>
        <v>41.856334179191883</v>
      </c>
      <c r="M18" s="196">
        <f t="shared" si="4"/>
        <v>107.19022524833279</v>
      </c>
      <c r="N18" s="196">
        <f>SUM((N17/M17)*100)</f>
        <v>115.64903762486512</v>
      </c>
      <c r="O18" s="196">
        <f t="shared" si="4"/>
        <v>101.57363900728697</v>
      </c>
      <c r="P18" s="197">
        <f t="shared" si="4"/>
        <v>107.40740740740742</v>
      </c>
      <c r="Q18" s="198"/>
      <c r="R18" s="194"/>
    </row>
    <row r="19" spans="1:18" s="161" customFormat="1" ht="15" x14ac:dyDescent="0.25">
      <c r="A19" s="428" t="s">
        <v>240</v>
      </c>
      <c r="B19" s="438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30"/>
      <c r="Q19" s="198"/>
      <c r="R19" s="194"/>
    </row>
    <row r="20" spans="1:18" s="161" customFormat="1" ht="15" x14ac:dyDescent="0.25">
      <c r="A20" s="199" t="s">
        <v>241</v>
      </c>
      <c r="B20" s="200" t="s">
        <v>242</v>
      </c>
      <c r="C20" s="201">
        <v>57967</v>
      </c>
      <c r="D20" s="201">
        <v>66121.3</v>
      </c>
      <c r="E20" s="201">
        <v>54347</v>
      </c>
      <c r="F20" s="201">
        <f>10632.264+49729</f>
        <v>60361.263999999996</v>
      </c>
      <c r="G20" s="201">
        <f>4392.586+42492</f>
        <v>46884.586000000003</v>
      </c>
      <c r="H20" s="202">
        <f>51433+9743.1</f>
        <v>61176.1</v>
      </c>
      <c r="I20" s="202">
        <v>58285.55</v>
      </c>
      <c r="J20" s="202">
        <v>55581.7</v>
      </c>
      <c r="K20" s="202">
        <v>49971.5</v>
      </c>
      <c r="L20" s="203">
        <v>50900.7</v>
      </c>
      <c r="M20" s="203">
        <v>52441.1</v>
      </c>
      <c r="N20" s="203">
        <v>55325</v>
      </c>
      <c r="O20" s="203">
        <v>55878.25</v>
      </c>
      <c r="P20" s="204">
        <v>56437</v>
      </c>
      <c r="Q20" s="198"/>
      <c r="R20" s="194"/>
    </row>
    <row r="21" spans="1:18" s="161" customFormat="1" ht="15" x14ac:dyDescent="0.25">
      <c r="A21" s="444" t="s">
        <v>243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30"/>
      <c r="Q21" s="198"/>
      <c r="R21" s="194"/>
    </row>
    <row r="22" spans="1:18" s="161" customFormat="1" ht="15" x14ac:dyDescent="0.25">
      <c r="A22" s="199" t="s">
        <v>446</v>
      </c>
      <c r="B22" s="205" t="s">
        <v>242</v>
      </c>
      <c r="C22" s="201">
        <f>1429.2+47882.6</f>
        <v>49311.799999999996</v>
      </c>
      <c r="D22" s="201">
        <v>51481.7</v>
      </c>
      <c r="E22" s="201">
        <v>46850</v>
      </c>
      <c r="F22" s="201">
        <f>536.883+42338</f>
        <v>42874.883000000002</v>
      </c>
      <c r="G22" s="201">
        <f>876.06+35020</f>
        <v>35896.06</v>
      </c>
      <c r="H22" s="202">
        <f>28334</f>
        <v>28334</v>
      </c>
      <c r="I22" s="202">
        <v>41104</v>
      </c>
      <c r="J22" s="202">
        <v>41845.9</v>
      </c>
      <c r="K22" s="202">
        <v>35997.5</v>
      </c>
      <c r="L22" s="202">
        <v>39766.5</v>
      </c>
      <c r="M22" s="202">
        <v>39250.5</v>
      </c>
      <c r="N22" s="202">
        <v>42500.1</v>
      </c>
      <c r="O22" s="202">
        <v>42925.1</v>
      </c>
      <c r="P22" s="206">
        <v>43354.35</v>
      </c>
      <c r="Q22" s="198"/>
      <c r="R22" s="194"/>
    </row>
    <row r="23" spans="1:18" s="161" customFormat="1" ht="15" x14ac:dyDescent="0.25">
      <c r="A23" s="207" t="s">
        <v>447</v>
      </c>
      <c r="B23" s="205" t="s">
        <v>242</v>
      </c>
      <c r="C23" s="201">
        <f>63.6+74.94</f>
        <v>138.54</v>
      </c>
      <c r="D23" s="201">
        <v>168.1</v>
      </c>
      <c r="E23" s="201">
        <v>105</v>
      </c>
      <c r="F23" s="201">
        <f>61.894+92</f>
        <v>153.89400000000001</v>
      </c>
      <c r="G23" s="201">
        <f>48.665+86</f>
        <v>134.66499999999999</v>
      </c>
      <c r="H23" s="202">
        <f>154+61.4</f>
        <v>215.4</v>
      </c>
      <c r="I23" s="202">
        <v>184.3</v>
      </c>
      <c r="J23" s="202">
        <v>2130.8000000000002</v>
      </c>
      <c r="K23" s="202">
        <v>2212</v>
      </c>
      <c r="L23" s="202">
        <v>279.60000000000002</v>
      </c>
      <c r="M23" s="202">
        <v>487.7</v>
      </c>
      <c r="N23" s="202">
        <v>567.70000000000005</v>
      </c>
      <c r="O23" s="202">
        <v>573.38</v>
      </c>
      <c r="P23" s="206">
        <v>579.11</v>
      </c>
      <c r="Q23" s="198"/>
      <c r="R23" s="194"/>
    </row>
    <row r="24" spans="1:18" s="161" customFormat="1" ht="15" x14ac:dyDescent="0.25">
      <c r="A24" s="199" t="s">
        <v>448</v>
      </c>
      <c r="B24" s="205" t="s">
        <v>242</v>
      </c>
      <c r="C24" s="201">
        <f>2314.7+2500.53</f>
        <v>4815.2299999999996</v>
      </c>
      <c r="D24" s="201">
        <v>4811.7</v>
      </c>
      <c r="E24" s="201">
        <v>3176</v>
      </c>
      <c r="F24" s="201">
        <f>1760.159+3386</f>
        <v>5146.1589999999997</v>
      </c>
      <c r="G24" s="201">
        <f>2081.551+3283</f>
        <v>5364.5509999999995</v>
      </c>
      <c r="H24" s="202">
        <f>3515+1941.2</f>
        <v>5456.2</v>
      </c>
      <c r="I24" s="202">
        <v>5248.3</v>
      </c>
      <c r="J24" s="202">
        <v>4733.8</v>
      </c>
      <c r="K24" s="202">
        <v>5132.1000000000004</v>
      </c>
      <c r="L24" s="202">
        <v>4829.8</v>
      </c>
      <c r="M24" s="202">
        <v>5059.8999999999996</v>
      </c>
      <c r="N24" s="202">
        <v>4935.6000000000004</v>
      </c>
      <c r="O24" s="202">
        <v>4984.96</v>
      </c>
      <c r="P24" s="206">
        <v>5034.8100000000004</v>
      </c>
      <c r="Q24" s="198"/>
      <c r="R24" s="194"/>
    </row>
    <row r="25" spans="1:18" s="161" customFormat="1" ht="15" x14ac:dyDescent="0.25">
      <c r="A25" s="428" t="s">
        <v>449</v>
      </c>
      <c r="B25" s="438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30"/>
      <c r="Q25" s="173"/>
      <c r="R25" s="194"/>
    </row>
    <row r="26" spans="1:18" s="161" customFormat="1" ht="15" x14ac:dyDescent="0.25">
      <c r="A26" s="152" t="s">
        <v>233</v>
      </c>
      <c r="B26" s="177" t="s">
        <v>238</v>
      </c>
      <c r="C26" s="208" t="e">
        <f>C29+C31+#REF!</f>
        <v>#REF!</v>
      </c>
      <c r="D26" s="208" t="e">
        <f>D29+D31+#REF!</f>
        <v>#REF!</v>
      </c>
      <c r="E26" s="208" t="e">
        <f>E29+E31+#REF!</f>
        <v>#REF!</v>
      </c>
      <c r="F26" s="208" t="e">
        <f>F29+F31+#REF!</f>
        <v>#REF!</v>
      </c>
      <c r="G26" s="208" t="e">
        <f>G29+G31+#REF!</f>
        <v>#REF!</v>
      </c>
      <c r="H26" s="208" t="e">
        <f>H29+H31+#REF!</f>
        <v>#REF!</v>
      </c>
      <c r="I26" s="208" t="e">
        <f>I29+I31+#REF!</f>
        <v>#REF!</v>
      </c>
      <c r="J26" s="208" t="e">
        <f>J29+J31+#REF!</f>
        <v>#REF!</v>
      </c>
      <c r="K26" s="208">
        <f t="shared" ref="K26:P26" si="5">K29+K31</f>
        <v>102.4</v>
      </c>
      <c r="L26" s="208">
        <f t="shared" si="5"/>
        <v>112.81</v>
      </c>
      <c r="M26" s="208">
        <f t="shared" si="5"/>
        <v>129.024</v>
      </c>
      <c r="N26" s="208">
        <f t="shared" si="5"/>
        <v>93.543999999999997</v>
      </c>
      <c r="O26" s="208">
        <f t="shared" si="5"/>
        <v>93.543999999999997</v>
      </c>
      <c r="P26" s="209">
        <f t="shared" si="5"/>
        <v>93.543999999999997</v>
      </c>
      <c r="Q26" s="210"/>
      <c r="R26" s="194"/>
    </row>
    <row r="27" spans="1:18" s="161" customFormat="1" ht="15" x14ac:dyDescent="0.25">
      <c r="A27" s="440" t="s">
        <v>235</v>
      </c>
      <c r="B27" s="441"/>
      <c r="C27" s="195"/>
      <c r="D27" s="195" t="e">
        <f t="shared" ref="D27:J27" si="6">SUM(D26/C26*100)</f>
        <v>#REF!</v>
      </c>
      <c r="E27" s="195" t="e">
        <f t="shared" si="6"/>
        <v>#REF!</v>
      </c>
      <c r="F27" s="195" t="e">
        <f t="shared" si="6"/>
        <v>#REF!</v>
      </c>
      <c r="G27" s="195" t="e">
        <f t="shared" si="6"/>
        <v>#REF!</v>
      </c>
      <c r="H27" s="195" t="e">
        <f t="shared" si="6"/>
        <v>#REF!</v>
      </c>
      <c r="I27" s="211" t="e">
        <f t="shared" si="6"/>
        <v>#REF!</v>
      </c>
      <c r="J27" s="211" t="e">
        <f t="shared" si="6"/>
        <v>#REF!</v>
      </c>
      <c r="K27" s="212" t="e">
        <f>SUM((K26/J26)*100)</f>
        <v>#REF!</v>
      </c>
      <c r="L27" s="212">
        <f>SUM((L26/K26)*100)</f>
        <v>110.16601562499999</v>
      </c>
      <c r="M27" s="212">
        <f>SUM((M26/L26)*100)</f>
        <v>114.37283928729723</v>
      </c>
      <c r="N27" s="212">
        <f>SUM((N26/L26)*100)</f>
        <v>82.921726797269741</v>
      </c>
      <c r="O27" s="213">
        <f>SUM(O26/N26*100)</f>
        <v>100</v>
      </c>
      <c r="P27" s="214">
        <f>SUM(P26/O26*100)</f>
        <v>100</v>
      </c>
      <c r="Q27" s="215"/>
      <c r="R27" s="194"/>
    </row>
    <row r="28" spans="1:18" s="161" customFormat="1" ht="15" x14ac:dyDescent="0.25">
      <c r="A28" s="428" t="s">
        <v>244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30"/>
      <c r="Q28" s="173"/>
      <c r="R28" s="194"/>
    </row>
    <row r="29" spans="1:18" s="161" customFormat="1" ht="15" x14ac:dyDescent="0.25">
      <c r="A29" s="216" t="s">
        <v>450</v>
      </c>
      <c r="B29" s="217" t="s">
        <v>238</v>
      </c>
      <c r="C29" s="218">
        <f>3.347+6.669+5.35</f>
        <v>15.366</v>
      </c>
      <c r="D29" s="218">
        <f>11.488+12.184+8.1</f>
        <v>31.771999999999998</v>
      </c>
      <c r="E29" s="218">
        <f>8.945+13.078+20.346</f>
        <v>42.369</v>
      </c>
      <c r="F29" s="218">
        <f>20.038+14.913+23.332</f>
        <v>58.283000000000001</v>
      </c>
      <c r="G29" s="218">
        <f>27.952+6.418+14.505</f>
        <v>48.875000000000007</v>
      </c>
      <c r="H29" s="218">
        <v>50.9</v>
      </c>
      <c r="I29" s="218">
        <v>54.109000000000002</v>
      </c>
      <c r="J29" s="218">
        <v>74.712000000000003</v>
      </c>
      <c r="K29" s="218">
        <v>87</v>
      </c>
      <c r="L29" s="218">
        <v>87.182000000000002</v>
      </c>
      <c r="M29" s="218">
        <v>100.324</v>
      </c>
      <c r="N29" s="218">
        <v>63.543999999999997</v>
      </c>
      <c r="O29" s="218">
        <f>N29</f>
        <v>63.543999999999997</v>
      </c>
      <c r="P29" s="219">
        <f>N29</f>
        <v>63.543999999999997</v>
      </c>
      <c r="Q29" s="220"/>
      <c r="R29" s="194"/>
    </row>
    <row r="30" spans="1:18" s="161" customFormat="1" ht="15" x14ac:dyDescent="0.25">
      <c r="A30" s="440" t="s">
        <v>235</v>
      </c>
      <c r="B30" s="441"/>
      <c r="C30" s="218"/>
      <c r="D30" s="221">
        <f t="shared" ref="D30:J30" si="7">SUM(D29/C29*100)</f>
        <v>206.76818950930627</v>
      </c>
      <c r="E30" s="221">
        <f t="shared" si="7"/>
        <v>133.35326702757143</v>
      </c>
      <c r="F30" s="221">
        <f t="shared" si="7"/>
        <v>137.56048054001747</v>
      </c>
      <c r="G30" s="221">
        <f t="shared" si="7"/>
        <v>83.858071821972118</v>
      </c>
      <c r="H30" s="221">
        <f t="shared" si="7"/>
        <v>104.14322250639385</v>
      </c>
      <c r="I30" s="221">
        <f t="shared" si="7"/>
        <v>106.30451866404715</v>
      </c>
      <c r="J30" s="222">
        <f t="shared" si="7"/>
        <v>138.0768448871722</v>
      </c>
      <c r="K30" s="212">
        <f>SUM((K29/J29)*100)</f>
        <v>116.44715708319949</v>
      </c>
      <c r="L30" s="212">
        <f>SUM((L29/K29)*100)</f>
        <v>100.20919540229885</v>
      </c>
      <c r="M30" s="212">
        <f>SUM((M29/L29)*100)</f>
        <v>115.07421256681425</v>
      </c>
      <c r="N30" s="212">
        <f>SUM((N29/L29)*100)</f>
        <v>72.886605033149038</v>
      </c>
      <c r="O30" s="222">
        <f>SUM(O29/N29*100)</f>
        <v>100</v>
      </c>
      <c r="P30" s="223">
        <f>SUM(P29/O29*100)</f>
        <v>100</v>
      </c>
      <c r="Q30" s="224"/>
      <c r="R30" s="194"/>
    </row>
    <row r="31" spans="1:18" s="161" customFormat="1" ht="15" x14ac:dyDescent="0.25">
      <c r="A31" s="225" t="s">
        <v>451</v>
      </c>
      <c r="B31" s="217" t="s">
        <v>238</v>
      </c>
      <c r="C31" s="226">
        <f>0.109+0.011+0.414</f>
        <v>0.53400000000000003</v>
      </c>
      <c r="D31" s="227">
        <f>0.29</f>
        <v>0.28999999999999998</v>
      </c>
      <c r="E31" s="227">
        <v>10.467000000000001</v>
      </c>
      <c r="F31" s="227">
        <v>9.0830000000000002</v>
      </c>
      <c r="G31" s="227">
        <v>14.564</v>
      </c>
      <c r="H31" s="227">
        <v>16.64</v>
      </c>
      <c r="I31" s="227">
        <v>15.8</v>
      </c>
      <c r="J31" s="227">
        <v>16.701000000000001</v>
      </c>
      <c r="K31" s="227">
        <v>15.4</v>
      </c>
      <c r="L31" s="227">
        <v>25.628</v>
      </c>
      <c r="M31" s="227">
        <v>28.7</v>
      </c>
      <c r="N31" s="228">
        <v>30</v>
      </c>
      <c r="O31" s="227">
        <v>30</v>
      </c>
      <c r="P31" s="229">
        <v>30</v>
      </c>
      <c r="Q31" s="230"/>
      <c r="R31" s="194"/>
    </row>
    <row r="32" spans="1:18" s="161" customFormat="1" ht="15" x14ac:dyDescent="0.25">
      <c r="A32" s="440" t="s">
        <v>235</v>
      </c>
      <c r="B32" s="441"/>
      <c r="C32" s="227"/>
      <c r="D32" s="231">
        <v>0</v>
      </c>
      <c r="E32" s="231">
        <v>0</v>
      </c>
      <c r="F32" s="222">
        <f t="shared" ref="F32:P32" si="8">SUM(F31/E31*100)</f>
        <v>86.777491162701821</v>
      </c>
      <c r="G32" s="222">
        <f t="shared" si="8"/>
        <v>160.34349884399427</v>
      </c>
      <c r="H32" s="222">
        <f t="shared" si="8"/>
        <v>114.25432573468828</v>
      </c>
      <c r="I32" s="222">
        <f>SUM(I31/H31*100)</f>
        <v>94.951923076923066</v>
      </c>
      <c r="J32" s="222">
        <f>SUM(J31/I31*100)</f>
        <v>105.70253164556962</v>
      </c>
      <c r="K32" s="212">
        <f>SUM((K31/J31)*100)</f>
        <v>92.210047302556731</v>
      </c>
      <c r="L32" s="212">
        <f>SUM((L31/K31)*100)</f>
        <v>166.41558441558442</v>
      </c>
      <c r="M32" s="212">
        <f>SUM((M31/L31)*100)</f>
        <v>111.9868893397846</v>
      </c>
      <c r="N32" s="212">
        <f>SUM((N31/M31)*100)</f>
        <v>104.52961672473869</v>
      </c>
      <c r="O32" s="222">
        <f t="shared" si="8"/>
        <v>100</v>
      </c>
      <c r="P32" s="223">
        <f t="shared" si="8"/>
        <v>100</v>
      </c>
      <c r="Q32" s="224"/>
      <c r="R32" s="194"/>
    </row>
    <row r="33" spans="1:18" s="161" customFormat="1" ht="15" x14ac:dyDescent="0.25">
      <c r="A33" s="232" t="s">
        <v>452</v>
      </c>
      <c r="B33" s="177" t="s">
        <v>245</v>
      </c>
      <c r="C33" s="233">
        <v>4</v>
      </c>
      <c r="D33" s="233">
        <v>4</v>
      </c>
      <c r="E33" s="233">
        <v>4</v>
      </c>
      <c r="F33" s="233">
        <v>4</v>
      </c>
      <c r="G33" s="234">
        <f>G35+G36</f>
        <v>4</v>
      </c>
      <c r="H33" s="234">
        <v>4</v>
      </c>
      <c r="I33" s="234">
        <f t="shared" ref="I33:P33" si="9">I35+I36</f>
        <v>4</v>
      </c>
      <c r="J33" s="234">
        <f t="shared" si="9"/>
        <v>4</v>
      </c>
      <c r="K33" s="234">
        <f t="shared" si="9"/>
        <v>4</v>
      </c>
      <c r="L33" s="235">
        <f>L35+L36</f>
        <v>4</v>
      </c>
      <c r="M33" s="235">
        <v>4</v>
      </c>
      <c r="N33" s="235">
        <f t="shared" si="9"/>
        <v>4</v>
      </c>
      <c r="O33" s="235">
        <f t="shared" si="9"/>
        <v>4</v>
      </c>
      <c r="P33" s="236">
        <f t="shared" si="9"/>
        <v>4</v>
      </c>
      <c r="Q33" s="237"/>
      <c r="R33" s="194"/>
    </row>
    <row r="34" spans="1:18" s="161" customFormat="1" ht="15" x14ac:dyDescent="0.25">
      <c r="A34" s="428" t="s">
        <v>244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30"/>
      <c r="Q34" s="173"/>
      <c r="R34" s="194"/>
    </row>
    <row r="35" spans="1:18" s="161" customFormat="1" ht="15" x14ac:dyDescent="0.25">
      <c r="A35" s="152" t="s">
        <v>453</v>
      </c>
      <c r="B35" s="153" t="s">
        <v>245</v>
      </c>
      <c r="C35" s="238">
        <v>3</v>
      </c>
      <c r="D35" s="238">
        <v>3</v>
      </c>
      <c r="E35" s="238">
        <v>3</v>
      </c>
      <c r="F35" s="238">
        <v>3</v>
      </c>
      <c r="G35" s="238">
        <v>3</v>
      </c>
      <c r="H35" s="238">
        <v>3</v>
      </c>
      <c r="I35" s="238">
        <v>3</v>
      </c>
      <c r="J35" s="238">
        <v>3</v>
      </c>
      <c r="K35" s="238">
        <v>3</v>
      </c>
      <c r="L35" s="238">
        <v>3</v>
      </c>
      <c r="M35" s="238">
        <v>3</v>
      </c>
      <c r="N35" s="238">
        <v>3</v>
      </c>
      <c r="O35" s="238">
        <v>3</v>
      </c>
      <c r="P35" s="239">
        <v>3</v>
      </c>
      <c r="Q35" s="237"/>
      <c r="R35" s="194"/>
    </row>
    <row r="36" spans="1:18" s="161" customFormat="1" ht="15" x14ac:dyDescent="0.25">
      <c r="A36" s="152" t="s">
        <v>246</v>
      </c>
      <c r="B36" s="153" t="s">
        <v>245</v>
      </c>
      <c r="C36" s="238">
        <v>1</v>
      </c>
      <c r="D36" s="238">
        <v>1</v>
      </c>
      <c r="E36" s="238">
        <v>1</v>
      </c>
      <c r="F36" s="238">
        <v>1</v>
      </c>
      <c r="G36" s="238">
        <v>1</v>
      </c>
      <c r="H36" s="238">
        <v>1</v>
      </c>
      <c r="I36" s="238">
        <v>1</v>
      </c>
      <c r="J36" s="238">
        <v>1</v>
      </c>
      <c r="K36" s="238">
        <v>1</v>
      </c>
      <c r="L36" s="238">
        <v>1</v>
      </c>
      <c r="M36" s="238">
        <v>1</v>
      </c>
      <c r="N36" s="238">
        <v>1</v>
      </c>
      <c r="O36" s="238">
        <v>1</v>
      </c>
      <c r="P36" s="239">
        <v>1</v>
      </c>
      <c r="Q36" s="237"/>
      <c r="R36" s="194"/>
    </row>
    <row r="37" spans="1:18" s="161" customFormat="1" ht="15" x14ac:dyDescent="0.25">
      <c r="A37" s="428" t="s">
        <v>239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30"/>
      <c r="Q37" s="174"/>
      <c r="R37" s="194"/>
    </row>
    <row r="38" spans="1:18" s="161" customFormat="1" ht="15" x14ac:dyDescent="0.25">
      <c r="A38" s="152" t="s">
        <v>233</v>
      </c>
      <c r="B38" s="177" t="s">
        <v>238</v>
      </c>
      <c r="C38" s="240">
        <f>2.06+7.989</f>
        <v>10.048999999999999</v>
      </c>
      <c r="D38" s="241">
        <v>12.94</v>
      </c>
      <c r="E38" s="242">
        <f>6.1+10.5+3.3</f>
        <v>19.900000000000002</v>
      </c>
      <c r="F38" s="242">
        <f>8.8+2.77+0.263+9</f>
        <v>20.832999999999998</v>
      </c>
      <c r="G38" s="242">
        <f>1.2+8.1+3.5+7.8</f>
        <v>20.599999999999998</v>
      </c>
      <c r="H38" s="242">
        <v>19.43</v>
      </c>
      <c r="I38" s="242">
        <v>20.059999999999999</v>
      </c>
      <c r="J38" s="242">
        <v>24.61</v>
      </c>
      <c r="K38" s="242">
        <v>27.5</v>
      </c>
      <c r="L38" s="243">
        <f>L41+L42</f>
        <v>27.1</v>
      </c>
      <c r="M38" s="243">
        <f>M41+M42</f>
        <v>29.7</v>
      </c>
      <c r="N38" s="243">
        <f>N41+N42</f>
        <v>32.700000000000003</v>
      </c>
      <c r="O38" s="243">
        <f>O41+O42</f>
        <v>35.700000000000003</v>
      </c>
      <c r="P38" s="243">
        <f>P41+P42</f>
        <v>38.9</v>
      </c>
      <c r="Q38" s="174"/>
      <c r="R38" s="194"/>
    </row>
    <row r="39" spans="1:18" s="161" customFormat="1" ht="15" x14ac:dyDescent="0.25">
      <c r="A39" s="440" t="s">
        <v>235</v>
      </c>
      <c r="B39" s="441"/>
      <c r="C39" s="244"/>
      <c r="D39" s="245">
        <f t="shared" ref="D39:J39" si="10">D38/C38*100</f>
        <v>128.76903174445218</v>
      </c>
      <c r="E39" s="186">
        <f t="shared" si="10"/>
        <v>153.78670788253478</v>
      </c>
      <c r="F39" s="186">
        <f t="shared" si="10"/>
        <v>104.68844221105526</v>
      </c>
      <c r="G39" s="186">
        <f t="shared" si="10"/>
        <v>98.881582105313683</v>
      </c>
      <c r="H39" s="186">
        <f t="shared" si="10"/>
        <v>94.320388349514573</v>
      </c>
      <c r="I39" s="186">
        <f t="shared" si="10"/>
        <v>103.24240864642304</v>
      </c>
      <c r="J39" s="187">
        <f t="shared" si="10"/>
        <v>122.68195413758724</v>
      </c>
      <c r="K39" s="212">
        <f>SUM((K38/J38)*100)</f>
        <v>111.74319382364892</v>
      </c>
      <c r="L39" s="212">
        <f>SUM((L38/K38)*100)</f>
        <v>98.545454545454547</v>
      </c>
      <c r="M39" s="212">
        <f>SUM((M38/L38)*100)</f>
        <v>109.59409594095939</v>
      </c>
      <c r="N39" s="212">
        <f>SUM((N38/M38)*100)</f>
        <v>110.10101010101012</v>
      </c>
      <c r="O39" s="187">
        <f>O38/N38*100</f>
        <v>109.1743119266055</v>
      </c>
      <c r="P39" s="188">
        <f>P38/O38*100</f>
        <v>108.96358543417367</v>
      </c>
      <c r="Q39" s="174"/>
      <c r="R39" s="194"/>
    </row>
    <row r="40" spans="1:18" s="161" customFormat="1" ht="15" x14ac:dyDescent="0.25">
      <c r="A40" s="428" t="s">
        <v>244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42"/>
      <c r="O40" s="442"/>
      <c r="P40" s="430"/>
      <c r="Q40" s="174"/>
      <c r="R40" s="194"/>
    </row>
    <row r="41" spans="1:18" s="161" customFormat="1" ht="15" x14ac:dyDescent="0.25">
      <c r="A41" s="152" t="s">
        <v>454</v>
      </c>
      <c r="B41" s="153" t="s">
        <v>262</v>
      </c>
      <c r="C41" s="244"/>
      <c r="D41" s="245"/>
      <c r="E41" s="186"/>
      <c r="F41" s="186"/>
      <c r="G41" s="186"/>
      <c r="H41" s="186"/>
      <c r="I41" s="186"/>
      <c r="J41" s="187"/>
      <c r="K41" s="212"/>
      <c r="L41" s="246">
        <v>17.8</v>
      </c>
      <c r="M41" s="246">
        <v>20</v>
      </c>
      <c r="N41" s="246">
        <v>22.000000000000004</v>
      </c>
      <c r="O41" s="247">
        <v>24.000000000000004</v>
      </c>
      <c r="P41" s="248">
        <v>26.2</v>
      </c>
      <c r="Q41" s="174"/>
      <c r="R41" s="194"/>
    </row>
    <row r="42" spans="1:18" s="161" customFormat="1" ht="15" x14ac:dyDescent="0.25">
      <c r="A42" s="152" t="s">
        <v>455</v>
      </c>
      <c r="B42" s="153" t="s">
        <v>262</v>
      </c>
      <c r="C42" s="244"/>
      <c r="D42" s="245"/>
      <c r="E42" s="186"/>
      <c r="F42" s="186"/>
      <c r="G42" s="186"/>
      <c r="H42" s="186"/>
      <c r="I42" s="186"/>
      <c r="J42" s="187"/>
      <c r="K42" s="212"/>
      <c r="L42" s="242">
        <v>9.3000000000000007</v>
      </c>
      <c r="M42" s="242">
        <v>9.6999999999999993</v>
      </c>
      <c r="N42" s="242">
        <v>10.7</v>
      </c>
      <c r="O42" s="242">
        <v>11.7</v>
      </c>
      <c r="P42" s="249">
        <v>12.7</v>
      </c>
      <c r="Q42" s="174"/>
      <c r="R42" s="194"/>
    </row>
    <row r="43" spans="1:18" s="145" customFormat="1" ht="15.75" customHeight="1" x14ac:dyDescent="0.2">
      <c r="A43" s="431" t="s">
        <v>456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7"/>
      <c r="Q43" s="150"/>
      <c r="R43" s="151"/>
    </row>
    <row r="44" spans="1:18" s="161" customFormat="1" ht="31.5" customHeight="1" x14ac:dyDescent="0.25">
      <c r="A44" s="152" t="s">
        <v>457</v>
      </c>
      <c r="B44" s="153" t="s">
        <v>248</v>
      </c>
      <c r="C44" s="238">
        <v>3.17</v>
      </c>
      <c r="D44" s="238">
        <v>3.17</v>
      </c>
      <c r="E44" s="238">
        <v>3.17</v>
      </c>
      <c r="F44" s="238">
        <v>3.17</v>
      </c>
      <c r="G44" s="238">
        <v>3.17</v>
      </c>
      <c r="H44" s="250">
        <v>3.17</v>
      </c>
      <c r="I44" s="250">
        <v>3.17</v>
      </c>
      <c r="J44" s="250">
        <v>3.17</v>
      </c>
      <c r="K44" s="250">
        <v>3.17</v>
      </c>
      <c r="L44" s="250">
        <v>3.17</v>
      </c>
      <c r="M44" s="250">
        <v>3.17</v>
      </c>
      <c r="N44" s="250">
        <v>3.17</v>
      </c>
      <c r="O44" s="250">
        <v>3.17</v>
      </c>
      <c r="P44" s="251">
        <v>3.17</v>
      </c>
      <c r="Q44" s="237"/>
      <c r="R44" s="194"/>
    </row>
    <row r="45" spans="1:18" s="145" customFormat="1" ht="15.75" customHeight="1" x14ac:dyDescent="0.2">
      <c r="A45" s="431" t="s">
        <v>458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7"/>
      <c r="Q45" s="150"/>
      <c r="R45" s="151"/>
    </row>
    <row r="46" spans="1:18" s="161" customFormat="1" ht="31.5" customHeight="1" x14ac:dyDescent="0.25">
      <c r="A46" s="252" t="s">
        <v>459</v>
      </c>
      <c r="B46" s="177" t="s">
        <v>245</v>
      </c>
      <c r="C46" s="253">
        <v>17</v>
      </c>
      <c r="D46" s="254">
        <v>17</v>
      </c>
      <c r="E46" s="253">
        <f t="shared" ref="E46:K46" si="11">E48+E52+E53+E54</f>
        <v>25</v>
      </c>
      <c r="F46" s="253">
        <f t="shared" si="11"/>
        <v>28</v>
      </c>
      <c r="G46" s="253">
        <f t="shared" si="11"/>
        <v>35</v>
      </c>
      <c r="H46" s="253">
        <f t="shared" si="11"/>
        <v>35</v>
      </c>
      <c r="I46" s="255">
        <f t="shared" si="11"/>
        <v>39</v>
      </c>
      <c r="J46" s="255">
        <f t="shared" si="11"/>
        <v>42</v>
      </c>
      <c r="K46" s="255">
        <f t="shared" si="11"/>
        <v>40</v>
      </c>
      <c r="L46" s="255">
        <v>102</v>
      </c>
      <c r="M46" s="255">
        <v>104</v>
      </c>
      <c r="N46" s="255">
        <v>104</v>
      </c>
      <c r="O46" s="255">
        <v>106</v>
      </c>
      <c r="P46" s="256">
        <v>106</v>
      </c>
      <c r="Q46" s="257"/>
      <c r="R46" s="194"/>
    </row>
    <row r="47" spans="1:18" s="161" customFormat="1" ht="15" x14ac:dyDescent="0.25">
      <c r="A47" s="443" t="s">
        <v>460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30"/>
      <c r="Q47" s="173"/>
      <c r="R47" s="194"/>
    </row>
    <row r="48" spans="1:18" s="161" customFormat="1" ht="15" x14ac:dyDescent="0.25">
      <c r="A48" s="152" t="s">
        <v>254</v>
      </c>
      <c r="B48" s="153" t="s">
        <v>236</v>
      </c>
      <c r="C48" s="258">
        <v>4</v>
      </c>
      <c r="D48" s="259">
        <v>3</v>
      </c>
      <c r="E48" s="259">
        <v>4</v>
      </c>
      <c r="F48" s="259">
        <v>4</v>
      </c>
      <c r="G48" s="259">
        <v>4</v>
      </c>
      <c r="H48" s="259">
        <v>4</v>
      </c>
      <c r="I48" s="259">
        <v>4</v>
      </c>
      <c r="J48" s="259">
        <v>4</v>
      </c>
      <c r="K48" s="259"/>
      <c r="L48" s="259">
        <v>32.200000000000003</v>
      </c>
      <c r="M48" s="259">
        <v>32.700000000000003</v>
      </c>
      <c r="N48" s="259">
        <v>32.700000000000003</v>
      </c>
      <c r="O48" s="259">
        <v>33</v>
      </c>
      <c r="P48" s="260">
        <v>33</v>
      </c>
      <c r="Q48" s="237"/>
      <c r="R48" s="194"/>
    </row>
    <row r="49" spans="1:18" s="161" customFormat="1" ht="15" x14ac:dyDescent="0.25">
      <c r="A49" s="152" t="s">
        <v>461</v>
      </c>
      <c r="B49" s="153" t="s">
        <v>236</v>
      </c>
      <c r="C49" s="258"/>
      <c r="D49" s="259"/>
      <c r="E49" s="259"/>
      <c r="F49" s="259"/>
      <c r="G49" s="259"/>
      <c r="H49" s="259"/>
      <c r="I49" s="259"/>
      <c r="J49" s="259"/>
      <c r="K49" s="259"/>
      <c r="L49" s="259">
        <v>24</v>
      </c>
      <c r="M49" s="259">
        <v>24</v>
      </c>
      <c r="N49" s="259">
        <v>24</v>
      </c>
      <c r="O49" s="259">
        <v>24</v>
      </c>
      <c r="P49" s="260">
        <v>24</v>
      </c>
      <c r="Q49" s="237"/>
      <c r="R49" s="194"/>
    </row>
    <row r="50" spans="1:18" s="161" customFormat="1" ht="15" x14ac:dyDescent="0.25">
      <c r="A50" s="152" t="s">
        <v>253</v>
      </c>
      <c r="B50" s="153" t="s">
        <v>236</v>
      </c>
      <c r="C50" s="258"/>
      <c r="D50" s="259"/>
      <c r="E50" s="259"/>
      <c r="F50" s="259"/>
      <c r="G50" s="259"/>
      <c r="H50" s="259"/>
      <c r="I50" s="259"/>
      <c r="J50" s="259"/>
      <c r="K50" s="259"/>
      <c r="L50" s="259">
        <v>13</v>
      </c>
      <c r="M50" s="259">
        <v>12.5</v>
      </c>
      <c r="N50" s="259">
        <v>12.5</v>
      </c>
      <c r="O50" s="259">
        <v>12.5</v>
      </c>
      <c r="P50" s="260">
        <v>12.5</v>
      </c>
      <c r="Q50" s="237"/>
      <c r="R50" s="194"/>
    </row>
    <row r="51" spans="1:18" s="161" customFormat="1" ht="31.5" customHeight="1" x14ac:dyDescent="0.25">
      <c r="A51" s="152" t="s">
        <v>462</v>
      </c>
      <c r="B51" s="153" t="s">
        <v>236</v>
      </c>
      <c r="C51" s="258"/>
      <c r="D51" s="259"/>
      <c r="E51" s="259"/>
      <c r="F51" s="259"/>
      <c r="G51" s="259"/>
      <c r="H51" s="259"/>
      <c r="I51" s="259"/>
      <c r="J51" s="259"/>
      <c r="K51" s="259"/>
      <c r="L51" s="259">
        <v>8.6999999999999993</v>
      </c>
      <c r="M51" s="259">
        <v>8.6999999999999993</v>
      </c>
      <c r="N51" s="259">
        <v>8.6999999999999993</v>
      </c>
      <c r="O51" s="259">
        <v>8.6999999999999993</v>
      </c>
      <c r="P51" s="260">
        <v>8.6999999999999993</v>
      </c>
      <c r="Q51" s="237"/>
      <c r="R51" s="194"/>
    </row>
    <row r="52" spans="1:18" s="161" customFormat="1" ht="15" x14ac:dyDescent="0.25">
      <c r="A52" s="152" t="s">
        <v>252</v>
      </c>
      <c r="B52" s="153" t="s">
        <v>236</v>
      </c>
      <c r="C52" s="258">
        <v>12</v>
      </c>
      <c r="D52" s="259">
        <v>13</v>
      </c>
      <c r="E52" s="259">
        <v>17</v>
      </c>
      <c r="F52" s="259">
        <v>22</v>
      </c>
      <c r="G52" s="259">
        <v>29</v>
      </c>
      <c r="H52" s="259">
        <v>29</v>
      </c>
      <c r="I52" s="259">
        <v>30</v>
      </c>
      <c r="J52" s="259">
        <v>30</v>
      </c>
      <c r="K52" s="259">
        <v>31</v>
      </c>
      <c r="L52" s="259">
        <v>6.7</v>
      </c>
      <c r="M52" s="259">
        <v>6.7</v>
      </c>
      <c r="N52" s="259">
        <v>6.7</v>
      </c>
      <c r="O52" s="259">
        <v>6.7</v>
      </c>
      <c r="P52" s="260">
        <v>6.7</v>
      </c>
      <c r="Q52" s="237"/>
      <c r="R52" s="194"/>
    </row>
    <row r="53" spans="1:18" s="161" customFormat="1" ht="15" x14ac:dyDescent="0.25">
      <c r="A53" s="152" t="s">
        <v>71</v>
      </c>
      <c r="B53" s="153" t="s">
        <v>236</v>
      </c>
      <c r="C53" s="261">
        <v>0</v>
      </c>
      <c r="D53" s="261">
        <v>0</v>
      </c>
      <c r="E53" s="261">
        <v>3</v>
      </c>
      <c r="F53" s="261">
        <v>2</v>
      </c>
      <c r="G53" s="261">
        <v>2</v>
      </c>
      <c r="H53" s="261">
        <v>2</v>
      </c>
      <c r="I53" s="261">
        <v>5</v>
      </c>
      <c r="J53" s="261">
        <v>8</v>
      </c>
      <c r="K53" s="261">
        <v>9</v>
      </c>
      <c r="L53" s="261">
        <v>4.8</v>
      </c>
      <c r="M53" s="262">
        <v>4.8</v>
      </c>
      <c r="N53" s="262">
        <v>4.8</v>
      </c>
      <c r="O53" s="262">
        <v>4.8</v>
      </c>
      <c r="P53" s="263">
        <v>4.8</v>
      </c>
      <c r="Q53" s="264"/>
      <c r="R53" s="194"/>
    </row>
    <row r="54" spans="1:18" s="161" customFormat="1" ht="15" x14ac:dyDescent="0.25">
      <c r="A54" s="265" t="s">
        <v>463</v>
      </c>
      <c r="B54" s="266" t="s">
        <v>236</v>
      </c>
      <c r="C54" s="267">
        <v>1</v>
      </c>
      <c r="D54" s="268">
        <v>1</v>
      </c>
      <c r="E54" s="268">
        <v>1</v>
      </c>
      <c r="F54" s="268"/>
      <c r="G54" s="268"/>
      <c r="H54" s="268">
        <v>0</v>
      </c>
      <c r="I54" s="268"/>
      <c r="J54" s="268"/>
      <c r="K54" s="268"/>
      <c r="L54" s="268">
        <v>10.6</v>
      </c>
      <c r="M54" s="268">
        <v>10.6</v>
      </c>
      <c r="N54" s="268">
        <v>10.6</v>
      </c>
      <c r="O54" s="268">
        <v>10.3</v>
      </c>
      <c r="P54" s="269">
        <v>10.3</v>
      </c>
      <c r="Q54" s="237"/>
      <c r="R54" s="194"/>
    </row>
    <row r="55" spans="1:18" s="145" customFormat="1" ht="15.75" customHeight="1" x14ac:dyDescent="0.2">
      <c r="A55" s="431" t="s">
        <v>464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7"/>
      <c r="Q55" s="150"/>
      <c r="R55" s="151"/>
    </row>
    <row r="56" spans="1:18" s="161" customFormat="1" ht="15" x14ac:dyDescent="0.25">
      <c r="A56" s="152" t="s">
        <v>465</v>
      </c>
      <c r="B56" s="153" t="s">
        <v>238</v>
      </c>
      <c r="C56" s="238"/>
      <c r="D56" s="238"/>
      <c r="E56" s="238"/>
      <c r="F56" s="238"/>
      <c r="G56" s="238"/>
      <c r="H56" s="250"/>
      <c r="I56" s="250"/>
      <c r="J56" s="250"/>
      <c r="K56" s="250"/>
      <c r="L56" s="250">
        <v>212.7</v>
      </c>
      <c r="M56" s="250">
        <v>335</v>
      </c>
      <c r="N56" s="250">
        <v>180</v>
      </c>
      <c r="O56" s="250">
        <v>200</v>
      </c>
      <c r="P56" s="251">
        <v>200</v>
      </c>
      <c r="Q56" s="237"/>
      <c r="R56" s="194"/>
    </row>
    <row r="57" spans="1:18" s="161" customFormat="1" ht="15" x14ac:dyDescent="0.25">
      <c r="A57" s="152" t="s">
        <v>466</v>
      </c>
      <c r="B57" s="153" t="s">
        <v>238</v>
      </c>
      <c r="C57" s="238"/>
      <c r="D57" s="238"/>
      <c r="E57" s="238"/>
      <c r="F57" s="238"/>
      <c r="G57" s="238"/>
      <c r="H57" s="250"/>
      <c r="I57" s="250"/>
      <c r="J57" s="250"/>
      <c r="K57" s="250"/>
      <c r="L57" s="250">
        <v>60.8</v>
      </c>
      <c r="M57" s="250">
        <v>170.6</v>
      </c>
      <c r="N57" s="250">
        <v>6.9</v>
      </c>
      <c r="O57" s="250">
        <v>6.9</v>
      </c>
      <c r="P57" s="251">
        <v>6.9</v>
      </c>
      <c r="Q57" s="237"/>
      <c r="R57" s="194"/>
    </row>
    <row r="58" spans="1:18" s="161" customFormat="1" ht="30" x14ac:dyDescent="0.25">
      <c r="A58" s="152" t="s">
        <v>417</v>
      </c>
      <c r="B58" s="153" t="s">
        <v>238</v>
      </c>
      <c r="C58" s="270"/>
      <c r="D58" s="270"/>
      <c r="E58" s="270"/>
      <c r="F58" s="270"/>
      <c r="G58" s="270"/>
      <c r="H58" s="270"/>
      <c r="I58" s="270"/>
      <c r="J58" s="270"/>
      <c r="K58" s="271">
        <v>0</v>
      </c>
      <c r="L58" s="272">
        <f>6.3+2</f>
        <v>8.3000000000000007</v>
      </c>
      <c r="M58" s="272">
        <v>124.1</v>
      </c>
      <c r="N58" s="271">
        <v>7.4</v>
      </c>
      <c r="O58" s="271">
        <v>1.8</v>
      </c>
      <c r="P58" s="273">
        <v>2.8</v>
      </c>
      <c r="Q58" s="274"/>
      <c r="R58" s="275"/>
    </row>
    <row r="59" spans="1:18" s="161" customFormat="1" ht="13.5" customHeight="1" x14ac:dyDescent="0.25">
      <c r="A59" s="428" t="s">
        <v>250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30"/>
      <c r="Q59" s="173"/>
      <c r="R59" s="194"/>
    </row>
    <row r="60" spans="1:18" s="161" customFormat="1" ht="15" x14ac:dyDescent="0.25">
      <c r="A60" s="176" t="s">
        <v>251</v>
      </c>
      <c r="B60" s="153" t="s">
        <v>238</v>
      </c>
      <c r="C60" s="276">
        <v>62.37</v>
      </c>
      <c r="D60" s="276">
        <v>72.38</v>
      </c>
      <c r="E60" s="238">
        <v>86.5</v>
      </c>
      <c r="F60" s="238">
        <v>41.2</v>
      </c>
      <c r="G60" s="238">
        <v>71.900000000000006</v>
      </c>
      <c r="H60" s="238">
        <v>81.400000000000006</v>
      </c>
      <c r="I60" s="238">
        <f>54.3</f>
        <v>54.3</v>
      </c>
      <c r="J60" s="238">
        <v>65.2</v>
      </c>
      <c r="K60" s="238">
        <v>97.8</v>
      </c>
      <c r="L60" s="238">
        <v>88.34</v>
      </c>
      <c r="M60" s="238">
        <f>94.4-23.3</f>
        <v>71.100000000000009</v>
      </c>
      <c r="N60" s="238">
        <v>88</v>
      </c>
      <c r="O60" s="201">
        <v>94.4</v>
      </c>
      <c r="P60" s="277">
        <v>94.4</v>
      </c>
      <c r="Q60" s="278"/>
      <c r="R60" s="194"/>
    </row>
    <row r="61" spans="1:18" s="145" customFormat="1" ht="15.75" customHeight="1" x14ac:dyDescent="0.2">
      <c r="A61" s="431" t="s">
        <v>467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279"/>
      <c r="Q61" s="171"/>
      <c r="R61" s="151"/>
    </row>
    <row r="62" spans="1:18" s="161" customFormat="1" ht="15" x14ac:dyDescent="0.25">
      <c r="A62" s="252" t="s">
        <v>468</v>
      </c>
      <c r="B62" s="153" t="s">
        <v>249</v>
      </c>
      <c r="C62" s="238" t="e">
        <f>C63+C64+C65+C68+C69+C70+C71+#REF!+#REF!+#REF!+#REF!+#REF!+#REF!</f>
        <v>#REF!</v>
      </c>
      <c r="D62" s="238" t="e">
        <f>D63+D64+D65+D68+D69+D70+D71+#REF!+#REF!+#REF!+#REF!+#REF!+#REF!</f>
        <v>#REF!</v>
      </c>
      <c r="E62" s="238" t="e">
        <f>E63+E64+E65+E68+E69+E70+E71+#REF!+#REF!+#REF!+#REF!+#REF!+#REF!</f>
        <v>#REF!</v>
      </c>
      <c r="F62" s="238" t="e">
        <f>F63+F64+F65+F68+F69+F70+F71+#REF!+#REF!+#REF!+#REF!+#REF!+#REF!</f>
        <v>#REF!</v>
      </c>
      <c r="G62" s="238" t="e">
        <f>G63+G64+G65+G68+G69+G70+G71+#REF!+#REF!+#REF!+#REF!+#REF!+#REF!</f>
        <v>#REF!</v>
      </c>
      <c r="H62" s="238" t="e">
        <f>H63+H64+H65+H68+H69+H70+H71+#REF!+#REF!+#REF!+#REF!+#REF!+#REF!</f>
        <v>#REF!</v>
      </c>
      <c r="I62" s="238" t="e">
        <f>I63+I64+I65+I68+I69+I70+I71+#REF!+#REF!+#REF!+#REF!+#REF!+#REF!</f>
        <v>#REF!</v>
      </c>
      <c r="J62" s="238" t="e">
        <f>J63+J64+J65+J68+J69+J70+J71+#REF!+#REF!+#REF!+#REF!+#REF!+#REF!</f>
        <v>#REF!</v>
      </c>
      <c r="K62" s="238" t="e">
        <f>K63+K64+K65+K68+K69+K70+K71+#REF!+#REF!+#REF!+#REF!+#REF!+#REF!</f>
        <v>#REF!</v>
      </c>
      <c r="L62" s="238">
        <v>2509</v>
      </c>
      <c r="M62" s="238">
        <v>2560</v>
      </c>
      <c r="N62" s="238">
        <v>2600</v>
      </c>
      <c r="O62" s="238">
        <v>2600</v>
      </c>
      <c r="P62" s="239">
        <v>2600</v>
      </c>
      <c r="Q62" s="237"/>
      <c r="R62" s="194"/>
    </row>
    <row r="63" spans="1:18" s="161" customFormat="1" ht="15" x14ac:dyDescent="0.25">
      <c r="A63" s="152" t="s">
        <v>469</v>
      </c>
      <c r="B63" s="153" t="s">
        <v>249</v>
      </c>
      <c r="C63" s="238">
        <f>208+130</f>
        <v>338</v>
      </c>
      <c r="D63" s="238">
        <v>320</v>
      </c>
      <c r="E63" s="238">
        <f>127+117</f>
        <v>244</v>
      </c>
      <c r="F63" s="238">
        <f>138+118</f>
        <v>256</v>
      </c>
      <c r="G63" s="238">
        <f>161+126</f>
        <v>287</v>
      </c>
      <c r="H63" s="238">
        <v>290</v>
      </c>
      <c r="I63" s="238">
        <v>255</v>
      </c>
      <c r="J63" s="238">
        <v>244</v>
      </c>
      <c r="K63" s="238">
        <v>285</v>
      </c>
      <c r="L63" s="238">
        <v>268</v>
      </c>
      <c r="M63" s="238">
        <v>270</v>
      </c>
      <c r="N63" s="238">
        <v>280</v>
      </c>
      <c r="O63" s="238">
        <v>280</v>
      </c>
      <c r="P63" s="239">
        <v>280</v>
      </c>
      <c r="Q63" s="237"/>
      <c r="R63" s="194"/>
    </row>
    <row r="64" spans="1:18" s="161" customFormat="1" ht="15" x14ac:dyDescent="0.25">
      <c r="A64" s="152" t="s">
        <v>470</v>
      </c>
      <c r="B64" s="153" t="s">
        <v>249</v>
      </c>
      <c r="C64" s="238">
        <f>51+85</f>
        <v>136</v>
      </c>
      <c r="D64" s="238">
        <v>104</v>
      </c>
      <c r="E64" s="238">
        <v>70</v>
      </c>
      <c r="F64" s="238">
        <f>43+30</f>
        <v>73</v>
      </c>
      <c r="G64" s="238">
        <f>45+21</f>
        <v>66</v>
      </c>
      <c r="H64" s="238">
        <v>66</v>
      </c>
      <c r="I64" s="238">
        <v>77</v>
      </c>
      <c r="J64" s="238">
        <v>107</v>
      </c>
      <c r="K64" s="238">
        <v>143</v>
      </c>
      <c r="L64" s="238">
        <v>587</v>
      </c>
      <c r="M64" s="238">
        <v>600</v>
      </c>
      <c r="N64" s="238">
        <v>610</v>
      </c>
      <c r="O64" s="238">
        <v>610</v>
      </c>
      <c r="P64" s="239">
        <v>610</v>
      </c>
      <c r="Q64" s="237"/>
      <c r="R64" s="194"/>
    </row>
    <row r="65" spans="1:31" s="161" customFormat="1" ht="15" x14ac:dyDescent="0.25">
      <c r="A65" s="152" t="s">
        <v>471</v>
      </c>
      <c r="B65" s="153" t="s">
        <v>249</v>
      </c>
      <c r="C65" s="238">
        <f>SUM(C66+C67)</f>
        <v>17</v>
      </c>
      <c r="D65" s="238">
        <f>SUM(D66+D67)</f>
        <v>16</v>
      </c>
      <c r="E65" s="238">
        <f>SUM(E66+E67)</f>
        <v>11</v>
      </c>
      <c r="F65" s="238">
        <f>SUM(F66+F67)</f>
        <v>12</v>
      </c>
      <c r="G65" s="238">
        <f>SUM(G66+G67)</f>
        <v>13</v>
      </c>
      <c r="H65" s="238">
        <f>H66+H67</f>
        <v>12</v>
      </c>
      <c r="I65" s="238">
        <f>I66+I67</f>
        <v>10</v>
      </c>
      <c r="J65" s="238">
        <f>J66+J67</f>
        <v>9</v>
      </c>
      <c r="K65" s="238">
        <f>K66+K67</f>
        <v>9</v>
      </c>
      <c r="L65" s="238">
        <v>140</v>
      </c>
      <c r="M65" s="238">
        <v>160</v>
      </c>
      <c r="N65" s="238">
        <v>170</v>
      </c>
      <c r="O65" s="238">
        <v>170</v>
      </c>
      <c r="P65" s="239">
        <v>170</v>
      </c>
      <c r="Q65" s="237"/>
      <c r="R65" s="194"/>
    </row>
    <row r="66" spans="1:31" s="161" customFormat="1" ht="15" x14ac:dyDescent="0.25">
      <c r="A66" s="152" t="s">
        <v>472</v>
      </c>
      <c r="B66" s="153" t="s">
        <v>249</v>
      </c>
      <c r="C66" s="238">
        <v>10</v>
      </c>
      <c r="D66" s="238">
        <v>10</v>
      </c>
      <c r="E66" s="238">
        <v>6</v>
      </c>
      <c r="F66" s="238">
        <v>6</v>
      </c>
      <c r="G66" s="238">
        <v>7</v>
      </c>
      <c r="H66" s="238">
        <v>6</v>
      </c>
      <c r="I66" s="238">
        <v>5</v>
      </c>
      <c r="J66" s="238">
        <v>5</v>
      </c>
      <c r="K66" s="238">
        <v>5</v>
      </c>
      <c r="L66" s="238">
        <v>11</v>
      </c>
      <c r="M66" s="238">
        <v>12</v>
      </c>
      <c r="N66" s="238">
        <v>15</v>
      </c>
      <c r="O66" s="238">
        <v>15</v>
      </c>
      <c r="P66" s="239">
        <v>15</v>
      </c>
      <c r="Q66" s="237"/>
      <c r="R66" s="194"/>
    </row>
    <row r="67" spans="1:31" s="161" customFormat="1" ht="15" x14ac:dyDescent="0.25">
      <c r="A67" s="152" t="s">
        <v>473</v>
      </c>
      <c r="B67" s="153" t="s">
        <v>249</v>
      </c>
      <c r="C67" s="238">
        <v>7</v>
      </c>
      <c r="D67" s="238">
        <v>6</v>
      </c>
      <c r="E67" s="238">
        <v>5</v>
      </c>
      <c r="F67" s="238">
        <v>6</v>
      </c>
      <c r="G67" s="238">
        <v>6</v>
      </c>
      <c r="H67" s="238">
        <v>6</v>
      </c>
      <c r="I67" s="238">
        <v>5</v>
      </c>
      <c r="J67" s="238">
        <v>4</v>
      </c>
      <c r="K67" s="238">
        <v>4</v>
      </c>
      <c r="L67" s="238">
        <v>251</v>
      </c>
      <c r="M67" s="238">
        <v>250</v>
      </c>
      <c r="N67" s="238">
        <v>260</v>
      </c>
      <c r="O67" s="238">
        <v>260</v>
      </c>
      <c r="P67" s="239">
        <v>260</v>
      </c>
      <c r="Q67" s="237"/>
      <c r="R67" s="194"/>
    </row>
    <row r="68" spans="1:31" s="161" customFormat="1" ht="15" x14ac:dyDescent="0.25">
      <c r="A68" s="152" t="s">
        <v>99</v>
      </c>
      <c r="B68" s="153" t="s">
        <v>249</v>
      </c>
      <c r="C68" s="238">
        <f>162+309</f>
        <v>471</v>
      </c>
      <c r="D68" s="238">
        <v>485</v>
      </c>
      <c r="E68" s="238">
        <f>349+106</f>
        <v>455</v>
      </c>
      <c r="F68" s="238">
        <f>352+104</f>
        <v>456</v>
      </c>
      <c r="G68" s="238">
        <v>441</v>
      </c>
      <c r="H68" s="238">
        <v>439</v>
      </c>
      <c r="I68" s="238">
        <v>410</v>
      </c>
      <c r="J68" s="238">
        <v>334</v>
      </c>
      <c r="K68" s="238">
        <v>357</v>
      </c>
      <c r="L68" s="238">
        <v>384</v>
      </c>
      <c r="M68" s="238">
        <v>385</v>
      </c>
      <c r="N68" s="238">
        <v>400</v>
      </c>
      <c r="O68" s="238">
        <v>400</v>
      </c>
      <c r="P68" s="239">
        <v>400</v>
      </c>
      <c r="Q68" s="237"/>
      <c r="R68" s="194"/>
    </row>
    <row r="69" spans="1:31" s="161" customFormat="1" ht="15" x14ac:dyDescent="0.25">
      <c r="A69" s="152" t="s">
        <v>474</v>
      </c>
      <c r="B69" s="153" t="s">
        <v>249</v>
      </c>
      <c r="C69" s="238">
        <v>438</v>
      </c>
      <c r="D69" s="238">
        <v>248</v>
      </c>
      <c r="E69" s="238">
        <v>202</v>
      </c>
      <c r="F69" s="238">
        <v>307</v>
      </c>
      <c r="G69" s="238">
        <v>414</v>
      </c>
      <c r="H69" s="238">
        <v>354</v>
      </c>
      <c r="I69" s="238">
        <v>256</v>
      </c>
      <c r="J69" s="238">
        <v>205</v>
      </c>
      <c r="K69" s="238">
        <v>248</v>
      </c>
      <c r="L69" s="238">
        <v>220</v>
      </c>
      <c r="M69" s="238">
        <v>230</v>
      </c>
      <c r="N69" s="238">
        <v>240</v>
      </c>
      <c r="O69" s="238">
        <v>240</v>
      </c>
      <c r="P69" s="239">
        <v>240</v>
      </c>
      <c r="Q69" s="237"/>
      <c r="R69" s="194"/>
    </row>
    <row r="70" spans="1:31" s="161" customFormat="1" ht="15" x14ac:dyDescent="0.25">
      <c r="A70" s="152" t="s">
        <v>475</v>
      </c>
      <c r="B70" s="153" t="s">
        <v>249</v>
      </c>
      <c r="C70" s="238">
        <f>51+85</f>
        <v>136</v>
      </c>
      <c r="D70" s="238">
        <v>104</v>
      </c>
      <c r="E70" s="238">
        <v>70</v>
      </c>
      <c r="F70" s="238">
        <f>43+30</f>
        <v>73</v>
      </c>
      <c r="G70" s="238">
        <f>45+21</f>
        <v>66</v>
      </c>
      <c r="H70" s="238">
        <v>66</v>
      </c>
      <c r="I70" s="238">
        <v>77</v>
      </c>
      <c r="J70" s="238">
        <v>107</v>
      </c>
      <c r="K70" s="238">
        <v>143</v>
      </c>
      <c r="L70" s="238">
        <v>52</v>
      </c>
      <c r="M70" s="238">
        <v>55</v>
      </c>
      <c r="N70" s="238">
        <v>60</v>
      </c>
      <c r="O70" s="238">
        <v>60</v>
      </c>
      <c r="P70" s="239">
        <v>60</v>
      </c>
      <c r="Q70" s="237"/>
      <c r="R70" s="194"/>
      <c r="S70" s="194"/>
    </row>
    <row r="71" spans="1:31" s="161" customFormat="1" ht="15" x14ac:dyDescent="0.25">
      <c r="A71" s="152" t="s">
        <v>253</v>
      </c>
      <c r="B71" s="153" t="s">
        <v>249</v>
      </c>
      <c r="C71" s="238">
        <f>1+7</f>
        <v>8</v>
      </c>
      <c r="D71" s="238">
        <v>6</v>
      </c>
      <c r="E71" s="238">
        <v>3</v>
      </c>
      <c r="F71" s="238">
        <v>3</v>
      </c>
      <c r="G71" s="238">
        <v>1</v>
      </c>
      <c r="H71" s="238">
        <v>1</v>
      </c>
      <c r="I71" s="238">
        <v>1</v>
      </c>
      <c r="J71" s="238">
        <v>1</v>
      </c>
      <c r="K71" s="238">
        <v>5</v>
      </c>
      <c r="L71" s="238">
        <v>124</v>
      </c>
      <c r="M71" s="238">
        <v>124</v>
      </c>
      <c r="N71" s="238">
        <v>130</v>
      </c>
      <c r="O71" s="238">
        <v>130</v>
      </c>
      <c r="P71" s="239">
        <v>130</v>
      </c>
      <c r="Q71" s="237"/>
      <c r="R71" s="194"/>
    </row>
    <row r="72" spans="1:31" s="145" customFormat="1" ht="15.75" x14ac:dyDescent="0.2">
      <c r="A72" s="431" t="s">
        <v>476</v>
      </c>
      <c r="B72" s="433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5"/>
      <c r="Q72" s="150"/>
      <c r="R72" s="280">
        <f>M73-L73</f>
        <v>303.11900000000014</v>
      </c>
      <c r="S72" s="172">
        <v>55581.3</v>
      </c>
      <c r="T72" s="172">
        <f>S73/S72</f>
        <v>1.0897370158668473</v>
      </c>
      <c r="U72" s="172"/>
      <c r="V72" s="172"/>
    </row>
    <row r="73" spans="1:31" s="161" customFormat="1" ht="15" x14ac:dyDescent="0.25">
      <c r="A73" s="232" t="s">
        <v>255</v>
      </c>
      <c r="B73" s="153" t="s">
        <v>238</v>
      </c>
      <c r="C73" s="218" t="e">
        <f t="shared" ref="C73:P73" si="12">SUM(C75+C76+C78)</f>
        <v>#REF!</v>
      </c>
      <c r="D73" s="218" t="e">
        <f t="shared" si="12"/>
        <v>#REF!</v>
      </c>
      <c r="E73" s="218" t="e">
        <f>SUM(E75+E76+E78)</f>
        <v>#REF!</v>
      </c>
      <c r="F73" s="218" t="e">
        <f>SUM(F75+F76+F78)</f>
        <v>#REF!</v>
      </c>
      <c r="G73" s="218" t="e">
        <f t="shared" si="12"/>
        <v>#REF!</v>
      </c>
      <c r="H73" s="281" t="e">
        <f t="shared" si="12"/>
        <v>#REF!</v>
      </c>
      <c r="I73" s="281" t="e">
        <f t="shared" si="12"/>
        <v>#REF!</v>
      </c>
      <c r="J73" s="281" t="e">
        <f t="shared" si="12"/>
        <v>#REF!</v>
      </c>
      <c r="K73" s="281" t="e">
        <f t="shared" si="12"/>
        <v>#REF!</v>
      </c>
      <c r="L73" s="281">
        <f t="shared" si="12"/>
        <v>3143.4989999999998</v>
      </c>
      <c r="M73" s="281">
        <f t="shared" si="12"/>
        <v>3446.6179999999999</v>
      </c>
      <c r="N73" s="281">
        <f t="shared" si="12"/>
        <v>3512.6010000000001</v>
      </c>
      <c r="O73" s="281">
        <f t="shared" si="12"/>
        <v>3577.1990000000001</v>
      </c>
      <c r="P73" s="282">
        <f t="shared" si="12"/>
        <v>3592.14</v>
      </c>
      <c r="Q73" s="283"/>
      <c r="R73" s="182">
        <f>M73*1000/12/R7</f>
        <v>60568.993392380151</v>
      </c>
      <c r="S73" s="182">
        <v>60569</v>
      </c>
      <c r="T73" s="284"/>
      <c r="U73" s="284"/>
      <c r="V73" s="170"/>
      <c r="X73" s="185"/>
    </row>
    <row r="74" spans="1:31" s="161" customFormat="1" ht="15" x14ac:dyDescent="0.25">
      <c r="A74" s="428" t="s">
        <v>256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30"/>
      <c r="Q74" s="173"/>
      <c r="R74" s="182"/>
      <c r="S74" s="182"/>
      <c r="T74" s="284"/>
      <c r="U74" s="284"/>
      <c r="V74" s="170"/>
    </row>
    <row r="75" spans="1:31" s="161" customFormat="1" ht="15" x14ac:dyDescent="0.25">
      <c r="A75" s="152" t="s">
        <v>477</v>
      </c>
      <c r="B75" s="153" t="s">
        <v>238</v>
      </c>
      <c r="C75" s="238" t="e">
        <f>#REF!</f>
        <v>#REF!</v>
      </c>
      <c r="D75" s="218" t="e">
        <f>#REF!</f>
        <v>#REF!</v>
      </c>
      <c r="E75" s="218" t="e">
        <f>#REF!</f>
        <v>#REF!</v>
      </c>
      <c r="F75" s="218" t="e">
        <f>#REF!</f>
        <v>#REF!</v>
      </c>
      <c r="G75" s="218" t="e">
        <f>#REF!</f>
        <v>#REF!</v>
      </c>
      <c r="H75" s="218" t="e">
        <f>#REF!</f>
        <v>#REF!</v>
      </c>
      <c r="I75" s="218" t="e">
        <f>#REF!</f>
        <v>#REF!</v>
      </c>
      <c r="J75" s="218" t="e">
        <f>#REF!</f>
        <v>#REF!</v>
      </c>
      <c r="K75" s="218" t="e">
        <f>#REF!</f>
        <v>#REF!</v>
      </c>
      <c r="L75" s="281">
        <v>2523.8789999999999</v>
      </c>
      <c r="M75" s="281">
        <v>2800</v>
      </c>
      <c r="N75" s="281">
        <v>2850</v>
      </c>
      <c r="O75" s="281">
        <v>2900</v>
      </c>
      <c r="P75" s="282">
        <v>2900</v>
      </c>
      <c r="Q75" s="220">
        <f>M75/L75*100</f>
        <v>110.94034222718285</v>
      </c>
      <c r="R75" s="174">
        <f>L75/L62*1000000/12</f>
        <v>83827.520924671189</v>
      </c>
      <c r="S75" s="174">
        <f>M75/M62*1000000/12</f>
        <v>91145.833333333328</v>
      </c>
      <c r="T75" s="285">
        <f>S75/R75</f>
        <v>1.0873020259687567</v>
      </c>
      <c r="U75" s="284"/>
      <c r="V75" s="284"/>
    </row>
    <row r="76" spans="1:31" s="161" customFormat="1" ht="15" x14ac:dyDescent="0.25">
      <c r="A76" s="152" t="s">
        <v>478</v>
      </c>
      <c r="B76" s="153" t="s">
        <v>238</v>
      </c>
      <c r="C76" s="218">
        <f>C77+2.4383</f>
        <v>103.4876</v>
      </c>
      <c r="D76" s="218">
        <v>236.63</v>
      </c>
      <c r="E76" s="218">
        <f>E77+39.27</f>
        <v>237.45200000000003</v>
      </c>
      <c r="F76" s="218">
        <f>F77+61.65</f>
        <v>290.25</v>
      </c>
      <c r="G76" s="218">
        <f>G77+52.87</f>
        <v>411.1</v>
      </c>
      <c r="H76" s="218">
        <f>H77+56.9+17</f>
        <v>477.29999999999995</v>
      </c>
      <c r="I76" s="218">
        <f>I77+100.286+30.983</f>
        <v>558.28499999999997</v>
      </c>
      <c r="J76" s="218">
        <f>J77+73.497+40.213</f>
        <v>573.47799999999995</v>
      </c>
      <c r="K76" s="218">
        <f>K77+82.252+52.986</f>
        <v>604.18099999999993</v>
      </c>
      <c r="L76" s="218">
        <f>L77+82.624</f>
        <v>599.62</v>
      </c>
      <c r="M76" s="218">
        <f>M77+80.649</f>
        <v>623.61800000000005</v>
      </c>
      <c r="N76" s="218">
        <f>N77+81.947</f>
        <v>637.601</v>
      </c>
      <c r="O76" s="218">
        <f>O77+84.405</f>
        <v>652.19899999999996</v>
      </c>
      <c r="P76" s="219">
        <f>P77+86.937</f>
        <v>667.14</v>
      </c>
      <c r="Q76" s="220"/>
      <c r="R76" s="174"/>
      <c r="S76" s="170"/>
      <c r="T76" s="284"/>
      <c r="U76" s="284"/>
      <c r="V76" s="284"/>
      <c r="X76" s="185"/>
    </row>
    <row r="77" spans="1:31" s="161" customFormat="1" ht="15" x14ac:dyDescent="0.25">
      <c r="A77" s="152" t="s">
        <v>479</v>
      </c>
      <c r="B77" s="153" t="s">
        <v>238</v>
      </c>
      <c r="C77" s="218">
        <v>101.0493</v>
      </c>
      <c r="D77" s="218">
        <v>233.31</v>
      </c>
      <c r="E77" s="218">
        <f>191.662+6.52</f>
        <v>198.18200000000002</v>
      </c>
      <c r="F77" s="218">
        <v>228.6</v>
      </c>
      <c r="G77" s="218">
        <v>358.23</v>
      </c>
      <c r="H77" s="218">
        <v>403.4</v>
      </c>
      <c r="I77" s="218">
        <v>427.01600000000002</v>
      </c>
      <c r="J77" s="218">
        <v>459.76799999999997</v>
      </c>
      <c r="K77" s="218">
        <v>468.94299999999998</v>
      </c>
      <c r="L77" s="218">
        <f>527.696-10.7</f>
        <v>516.99599999999998</v>
      </c>
      <c r="M77" s="218">
        <v>542.96900000000005</v>
      </c>
      <c r="N77" s="218">
        <v>555.654</v>
      </c>
      <c r="O77" s="218">
        <v>567.79399999999998</v>
      </c>
      <c r="P77" s="219">
        <v>580.20299999999997</v>
      </c>
      <c r="Q77" s="220"/>
      <c r="R77" s="174"/>
      <c r="S77" s="170"/>
      <c r="T77" s="284"/>
      <c r="U77" s="284"/>
      <c r="V77" s="284"/>
    </row>
    <row r="78" spans="1:31" s="161" customFormat="1" ht="15" x14ac:dyDescent="0.25">
      <c r="A78" s="152" t="s">
        <v>480</v>
      </c>
      <c r="B78" s="153" t="s">
        <v>238</v>
      </c>
      <c r="C78" s="286">
        <v>20</v>
      </c>
      <c r="D78" s="286">
        <v>20</v>
      </c>
      <c r="E78" s="287">
        <v>20</v>
      </c>
      <c r="F78" s="287">
        <f>2.614+2</f>
        <v>4.6139999999999999</v>
      </c>
      <c r="G78" s="287">
        <v>7</v>
      </c>
      <c r="H78" s="287">
        <v>8</v>
      </c>
      <c r="I78" s="287">
        <v>10</v>
      </c>
      <c r="J78" s="287">
        <v>17</v>
      </c>
      <c r="K78" s="287">
        <v>18</v>
      </c>
      <c r="L78" s="287">
        <v>20</v>
      </c>
      <c r="M78" s="287">
        <v>23</v>
      </c>
      <c r="N78" s="287">
        <v>25</v>
      </c>
      <c r="O78" s="287">
        <v>25</v>
      </c>
      <c r="P78" s="288">
        <v>25</v>
      </c>
      <c r="Q78" s="257"/>
      <c r="R78" s="174"/>
      <c r="S78" s="170"/>
      <c r="T78" s="284"/>
      <c r="U78" s="284"/>
      <c r="V78" s="284"/>
    </row>
    <row r="79" spans="1:31" s="161" customFormat="1" ht="15" x14ac:dyDescent="0.25">
      <c r="A79" s="152" t="s">
        <v>257</v>
      </c>
      <c r="B79" s="153" t="s">
        <v>258</v>
      </c>
      <c r="C79" s="238">
        <v>9856</v>
      </c>
      <c r="D79" s="289">
        <v>10800</v>
      </c>
      <c r="E79" s="289">
        <v>10961</v>
      </c>
      <c r="F79" s="290">
        <v>11114</v>
      </c>
      <c r="G79" s="290">
        <v>12157</v>
      </c>
      <c r="H79" s="291">
        <v>13381</v>
      </c>
      <c r="I79" s="291">
        <v>14568</v>
      </c>
      <c r="J79" s="291">
        <v>16537</v>
      </c>
      <c r="K79" s="291">
        <v>18072</v>
      </c>
      <c r="L79" s="291">
        <v>20194</v>
      </c>
      <c r="M79" s="291">
        <v>21680</v>
      </c>
      <c r="N79" s="291">
        <v>22534</v>
      </c>
      <c r="O79" s="291">
        <v>23196</v>
      </c>
      <c r="P79" s="292">
        <v>24189</v>
      </c>
      <c r="Q79" s="293"/>
      <c r="R79" s="174"/>
      <c r="S79" s="170"/>
      <c r="T79" s="294"/>
      <c r="U79" s="295"/>
      <c r="V79" s="295"/>
      <c r="W79" s="295"/>
      <c r="X79" s="296"/>
      <c r="Y79" s="297"/>
      <c r="Z79" s="297"/>
      <c r="AA79" s="298"/>
      <c r="AB79" s="298"/>
      <c r="AC79" s="170"/>
      <c r="AD79" s="170"/>
      <c r="AE79" s="170"/>
    </row>
    <row r="80" spans="1:31" s="161" customFormat="1" ht="15" x14ac:dyDescent="0.25">
      <c r="A80" s="152" t="s">
        <v>259</v>
      </c>
      <c r="B80" s="153" t="s">
        <v>236</v>
      </c>
      <c r="C80" s="299" t="s">
        <v>260</v>
      </c>
      <c r="D80" s="299" t="s">
        <v>260</v>
      </c>
      <c r="E80" s="299" t="s">
        <v>261</v>
      </c>
      <c r="F80" s="300">
        <v>0.10199999999999999</v>
      </c>
      <c r="G80" s="300">
        <v>0.1</v>
      </c>
      <c r="H80" s="301">
        <v>9.2999999999999999E-2</v>
      </c>
      <c r="I80" s="301">
        <v>9.1999999999999998E-2</v>
      </c>
      <c r="J80" s="301">
        <v>8.5000000000000006E-2</v>
      </c>
      <c r="K80" s="301">
        <v>8.4000000000000005E-2</v>
      </c>
      <c r="L80" s="301">
        <v>8.3000000000000004E-2</v>
      </c>
      <c r="M80" s="301">
        <v>8.2000000000000003E-2</v>
      </c>
      <c r="N80" s="301">
        <v>8.2000000000000003E-2</v>
      </c>
      <c r="O80" s="301">
        <v>8.1000000000000003E-2</v>
      </c>
      <c r="P80" s="302">
        <v>0.08</v>
      </c>
      <c r="Q80" s="303"/>
      <c r="R80" s="174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24" s="145" customFormat="1" ht="15.75" x14ac:dyDescent="0.2">
      <c r="A81" s="431" t="s">
        <v>481</v>
      </c>
      <c r="B81" s="436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7"/>
      <c r="Q81" s="150"/>
      <c r="R81" s="151"/>
      <c r="S81" s="304"/>
      <c r="T81" s="305"/>
      <c r="U81" s="172"/>
      <c r="V81" s="172"/>
      <c r="W81" s="172"/>
      <c r="X81" s="172"/>
    </row>
    <row r="82" spans="1:24" s="161" customFormat="1" ht="15" x14ac:dyDescent="0.25">
      <c r="A82" s="152" t="s">
        <v>263</v>
      </c>
      <c r="B82" s="153" t="s">
        <v>264</v>
      </c>
      <c r="C82" s="306" t="s">
        <v>247</v>
      </c>
      <c r="D82" s="306">
        <v>0</v>
      </c>
      <c r="E82" s="307" t="s">
        <v>265</v>
      </c>
      <c r="F82" s="307" t="s">
        <v>265</v>
      </c>
      <c r="G82" s="307" t="s">
        <v>266</v>
      </c>
      <c r="H82" s="307" t="s">
        <v>265</v>
      </c>
      <c r="I82" s="307" t="s">
        <v>267</v>
      </c>
      <c r="J82" s="307" t="s">
        <v>265</v>
      </c>
      <c r="K82" s="307" t="s">
        <v>265</v>
      </c>
      <c r="L82" s="307" t="s">
        <v>482</v>
      </c>
      <c r="M82" s="308">
        <v>1153.5</v>
      </c>
      <c r="N82" s="308">
        <v>4302.6000000000004</v>
      </c>
      <c r="O82" s="308">
        <v>0</v>
      </c>
      <c r="P82" s="309">
        <v>0</v>
      </c>
      <c r="Q82" s="310"/>
      <c r="R82" s="194"/>
      <c r="S82" s="185"/>
      <c r="T82" s="284"/>
      <c r="U82" s="284"/>
      <c r="V82" s="284"/>
      <c r="W82" s="170"/>
      <c r="X82" s="170"/>
    </row>
    <row r="83" spans="1:24" s="161" customFormat="1" ht="15" x14ac:dyDescent="0.25">
      <c r="A83" s="152" t="s">
        <v>268</v>
      </c>
      <c r="B83" s="153" t="s">
        <v>269</v>
      </c>
      <c r="C83" s="311">
        <v>28.35</v>
      </c>
      <c r="D83" s="311">
        <v>25.26</v>
      </c>
      <c r="E83" s="311">
        <f>(111299.91+31700.9)/E6/1000</f>
        <v>27.098883835512598</v>
      </c>
      <c r="F83" s="311">
        <f>134885.49/F6/1000</f>
        <v>25.202819506726453</v>
      </c>
      <c r="G83" s="311">
        <f>(133855.39+G82)/G6/1000</f>
        <v>26.107350709978608</v>
      </c>
      <c r="H83" s="226">
        <f>(131831.6+H82)/H6/1000</f>
        <v>25.366865499326533</v>
      </c>
      <c r="I83" s="226">
        <f>(123135.42+I82)/I6/1000</f>
        <v>24.201721983600155</v>
      </c>
      <c r="J83" s="226">
        <f>(131831.6+J82)/J6/1000</f>
        <v>27.385043622766929</v>
      </c>
      <c r="K83" s="226">
        <f>(127340.82+K82)/K6/1000</f>
        <v>27.139987212276214</v>
      </c>
      <c r="L83" s="226">
        <f>(122000)/L6/1000</f>
        <v>25.771018166455431</v>
      </c>
      <c r="M83" s="226">
        <f>(122000+M82)/M6/1000</f>
        <v>25.927052631578945</v>
      </c>
      <c r="N83" s="226">
        <f>(133626.04)/N6/1000</f>
        <v>27.838758333333335</v>
      </c>
      <c r="O83" s="226">
        <f>(133626.04+O82)/O6/1000</f>
        <v>27.551760824742271</v>
      </c>
      <c r="P83" s="312">
        <f>(133626.04+P82)/P6/1000</f>
        <v>27.270620408163264</v>
      </c>
      <c r="Q83" s="220"/>
      <c r="R83" s="313"/>
      <c r="S83" s="185"/>
      <c r="T83" s="284"/>
      <c r="U83" s="284"/>
      <c r="V83" s="284"/>
      <c r="W83" s="170"/>
      <c r="X83" s="170"/>
    </row>
    <row r="84" spans="1:24" s="161" customFormat="1" ht="15" x14ac:dyDescent="0.25">
      <c r="A84" s="152" t="s">
        <v>270</v>
      </c>
      <c r="B84" s="153" t="s">
        <v>238</v>
      </c>
      <c r="C84" s="307" t="s">
        <v>271</v>
      </c>
      <c r="D84" s="307" t="s">
        <v>272</v>
      </c>
      <c r="E84" s="311">
        <v>590.76790000000005</v>
      </c>
      <c r="F84" s="311">
        <v>616.69039999999995</v>
      </c>
      <c r="G84" s="242">
        <f>E84*105.9%</f>
        <v>625.62320610000017</v>
      </c>
      <c r="H84" s="314">
        <f>732.03/1.18</f>
        <v>620.36440677966107</v>
      </c>
      <c r="I84" s="314">
        <v>606.25199999999995</v>
      </c>
      <c r="J84" s="314">
        <v>504.87</v>
      </c>
      <c r="K84" s="314">
        <v>519.54</v>
      </c>
      <c r="L84" s="314">
        <v>535.21</v>
      </c>
      <c r="M84" s="314">
        <v>451</v>
      </c>
      <c r="N84" s="314">
        <v>465</v>
      </c>
      <c r="O84" s="314">
        <v>480</v>
      </c>
      <c r="P84" s="315">
        <v>495</v>
      </c>
      <c r="Q84" s="316"/>
      <c r="R84" s="194"/>
      <c r="S84" s="185"/>
      <c r="T84" s="284"/>
      <c r="U84" s="170"/>
      <c r="V84" s="170"/>
      <c r="W84" s="170"/>
      <c r="X84" s="170"/>
    </row>
    <row r="85" spans="1:24" s="161" customFormat="1" ht="15" x14ac:dyDescent="0.25">
      <c r="A85" s="152" t="s">
        <v>273</v>
      </c>
      <c r="B85" s="153" t="s">
        <v>236</v>
      </c>
      <c r="C85" s="299" t="s">
        <v>274</v>
      </c>
      <c r="D85" s="299" t="s">
        <v>275</v>
      </c>
      <c r="E85" s="299" t="s">
        <v>276</v>
      </c>
      <c r="F85" s="299" t="s">
        <v>277</v>
      </c>
      <c r="G85" s="299" t="s">
        <v>278</v>
      </c>
      <c r="H85" s="317">
        <v>0.28999999999999998</v>
      </c>
      <c r="I85" s="317">
        <v>0.24</v>
      </c>
      <c r="J85" s="317">
        <v>0.91669999999999996</v>
      </c>
      <c r="K85" s="317">
        <v>0.97599999999999998</v>
      </c>
      <c r="L85" s="317">
        <v>0.87480000000000002</v>
      </c>
      <c r="M85" s="317">
        <v>0.95</v>
      </c>
      <c r="N85" s="317">
        <v>0.98</v>
      </c>
      <c r="O85" s="317">
        <v>0.98</v>
      </c>
      <c r="P85" s="318">
        <v>0.98</v>
      </c>
      <c r="Q85" s="319"/>
      <c r="R85" s="320"/>
      <c r="S85" s="185"/>
      <c r="T85" s="185"/>
    </row>
    <row r="86" spans="1:24" s="161" customFormat="1" ht="15" x14ac:dyDescent="0.25">
      <c r="A86" s="152" t="s">
        <v>279</v>
      </c>
      <c r="B86" s="153" t="s">
        <v>249</v>
      </c>
      <c r="C86" s="307" t="s">
        <v>280</v>
      </c>
      <c r="D86" s="307" t="s">
        <v>281</v>
      </c>
      <c r="E86" s="311">
        <f>172+405+49+219+21+101+33+39+199</f>
        <v>1238</v>
      </c>
      <c r="F86" s="311">
        <v>1212</v>
      </c>
      <c r="G86" s="308">
        <f>189+390+537</f>
        <v>1116</v>
      </c>
      <c r="H86" s="308">
        <f>202+506+53+419</f>
        <v>1180</v>
      </c>
      <c r="I86" s="308">
        <f>198+412+483</f>
        <v>1093</v>
      </c>
      <c r="J86" s="308">
        <f>192+361+460</f>
        <v>1013</v>
      </c>
      <c r="K86" s="308">
        <f>195+842</f>
        <v>1037</v>
      </c>
      <c r="L86" s="308">
        <f>200+851</f>
        <v>1051</v>
      </c>
      <c r="M86" s="308">
        <f>186+852</f>
        <v>1038</v>
      </c>
      <c r="N86" s="308">
        <f>200+866</f>
        <v>1066</v>
      </c>
      <c r="O86" s="308">
        <v>1066</v>
      </c>
      <c r="P86" s="309">
        <v>1066</v>
      </c>
      <c r="Q86" s="283"/>
      <c r="R86" s="194"/>
      <c r="S86" s="185"/>
      <c r="T86" s="185"/>
      <c r="U86" s="321"/>
    </row>
    <row r="87" spans="1:24" s="161" customFormat="1" ht="15" x14ac:dyDescent="0.25">
      <c r="A87" s="152" t="s">
        <v>282</v>
      </c>
      <c r="B87" s="153" t="s">
        <v>249</v>
      </c>
      <c r="C87" s="307"/>
      <c r="D87" s="307"/>
      <c r="E87" s="307"/>
      <c r="F87" s="307"/>
      <c r="G87" s="307"/>
      <c r="H87" s="307" t="s">
        <v>283</v>
      </c>
      <c r="I87" s="307" t="s">
        <v>284</v>
      </c>
      <c r="J87" s="307" t="s">
        <v>285</v>
      </c>
      <c r="K87" s="307" t="s">
        <v>418</v>
      </c>
      <c r="L87" s="307" t="s">
        <v>483</v>
      </c>
      <c r="M87" s="307" t="s">
        <v>484</v>
      </c>
      <c r="N87" s="307" t="s">
        <v>286</v>
      </c>
      <c r="O87" s="307" t="s">
        <v>286</v>
      </c>
      <c r="P87" s="322" t="s">
        <v>286</v>
      </c>
      <c r="Q87" s="323"/>
      <c r="R87" s="194"/>
      <c r="S87" s="185"/>
      <c r="T87" s="185"/>
      <c r="U87" s="321"/>
    </row>
    <row r="88" spans="1:24" s="161" customFormat="1" ht="15" x14ac:dyDescent="0.25">
      <c r="A88" s="428" t="s">
        <v>287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9"/>
      <c r="Q88" s="324"/>
      <c r="R88" s="194"/>
      <c r="S88" s="325"/>
      <c r="T88" s="185"/>
    </row>
    <row r="89" spans="1:24" s="161" customFormat="1" ht="15" x14ac:dyDescent="0.25">
      <c r="A89" s="152" t="s">
        <v>485</v>
      </c>
      <c r="B89" s="153" t="s">
        <v>288</v>
      </c>
      <c r="C89" s="287">
        <v>22.5</v>
      </c>
      <c r="D89" s="287">
        <v>11</v>
      </c>
      <c r="E89" s="287">
        <v>11</v>
      </c>
      <c r="F89" s="287">
        <f>62/F6</f>
        <v>11.584454409566517</v>
      </c>
      <c r="G89" s="287">
        <f>62/G6</f>
        <v>12.059910523244504</v>
      </c>
      <c r="H89" s="326">
        <f>62/H6</f>
        <v>11.929959592072349</v>
      </c>
      <c r="I89" s="326">
        <f t="shared" ref="I89:P89" si="13">52/I6</f>
        <v>10.152284263959391</v>
      </c>
      <c r="J89" s="326">
        <f t="shared" si="13"/>
        <v>10.80182800166182</v>
      </c>
      <c r="K89" s="326">
        <f t="shared" si="13"/>
        <v>11.082693947144074</v>
      </c>
      <c r="L89" s="326">
        <f>52/L6</f>
        <v>10.984368398817068</v>
      </c>
      <c r="M89" s="326">
        <f>52/M6</f>
        <v>10.947368421052632</v>
      </c>
      <c r="N89" s="326">
        <f t="shared" si="13"/>
        <v>10.833333333333334</v>
      </c>
      <c r="O89" s="326">
        <f t="shared" si="13"/>
        <v>10.721649484536083</v>
      </c>
      <c r="P89" s="327">
        <f t="shared" si="13"/>
        <v>10.612244897959183</v>
      </c>
      <c r="Q89" s="328"/>
      <c r="R89" s="194"/>
      <c r="S89" s="185"/>
      <c r="T89" s="185"/>
    </row>
    <row r="90" spans="1:24" s="161" customFormat="1" ht="15" x14ac:dyDescent="0.25">
      <c r="A90" s="176" t="s">
        <v>486</v>
      </c>
      <c r="B90" s="153" t="s">
        <v>289</v>
      </c>
      <c r="C90" s="287">
        <v>63.6</v>
      </c>
      <c r="D90" s="287">
        <v>42</v>
      </c>
      <c r="E90" s="287">
        <f>132.1/4.937</f>
        <v>26.75713996354061</v>
      </c>
      <c r="F90" s="329">
        <f>143/2.983</f>
        <v>47.938317130405629</v>
      </c>
      <c r="G90" s="329">
        <f>150/2.734</f>
        <v>54.864667154352595</v>
      </c>
      <c r="H90" s="330">
        <f>183.2/3.414</f>
        <v>53.661394258933797</v>
      </c>
      <c r="I90" s="330">
        <f>185.2/3.469</f>
        <v>53.387143268953587</v>
      </c>
      <c r="J90" s="330">
        <f>242.2/3.231</f>
        <v>74.961312287217581</v>
      </c>
      <c r="K90" s="330">
        <f>237/3.405</f>
        <v>69.603524229074893</v>
      </c>
      <c r="L90" s="330">
        <f>237/3.785</f>
        <v>62.615587846763539</v>
      </c>
      <c r="M90" s="330">
        <f>237/3.785</f>
        <v>62.615587846763539</v>
      </c>
      <c r="N90" s="330">
        <f>237/3.785</f>
        <v>62.615587846763539</v>
      </c>
      <c r="O90" s="330">
        <f>237/3.785</f>
        <v>62.615587846763539</v>
      </c>
      <c r="P90" s="331">
        <f>237/3.785</f>
        <v>62.615587846763539</v>
      </c>
      <c r="Q90" s="332"/>
      <c r="R90" s="194"/>
      <c r="S90" s="185"/>
      <c r="T90" s="185"/>
    </row>
    <row r="91" spans="1:24" s="161" customFormat="1" ht="15" x14ac:dyDescent="0.25">
      <c r="A91" s="176" t="s">
        <v>487</v>
      </c>
      <c r="B91" s="153" t="s">
        <v>289</v>
      </c>
      <c r="C91" s="287">
        <v>4</v>
      </c>
      <c r="D91" s="287">
        <v>4</v>
      </c>
      <c r="E91" s="287">
        <f>11.8/0.34</f>
        <v>34.705882352941174</v>
      </c>
      <c r="F91" s="287">
        <f>24.4/0.742</f>
        <v>32.884097035040426</v>
      </c>
      <c r="G91" s="287">
        <f>22.4/((176+376+211+159)/1000)</f>
        <v>24.295010845986983</v>
      </c>
      <c r="H91" s="333">
        <f>29.6/((367+175+157+210)/1000)</f>
        <v>32.563256325632565</v>
      </c>
      <c r="I91" s="333">
        <f>28.1/((350+169+159+208)/1000)</f>
        <v>31.715575620767495</v>
      </c>
      <c r="J91" s="333">
        <f>33.1/0.85</f>
        <v>38.941176470588239</v>
      </c>
      <c r="K91" s="333">
        <f>28.8/0.782</f>
        <v>36.828644501278774</v>
      </c>
      <c r="L91" s="333">
        <f>31/0.809</f>
        <v>38.318912237330032</v>
      </c>
      <c r="M91" s="333">
        <f>31/0.809</f>
        <v>38.318912237330032</v>
      </c>
      <c r="N91" s="333">
        <f>31/0.809</f>
        <v>38.318912237330032</v>
      </c>
      <c r="O91" s="333">
        <f>31/0.809</f>
        <v>38.318912237330032</v>
      </c>
      <c r="P91" s="334">
        <f>31/0.809</f>
        <v>38.318912237330032</v>
      </c>
      <c r="Q91" s="257"/>
      <c r="R91" s="194"/>
      <c r="S91" s="185"/>
      <c r="T91" s="185"/>
    </row>
    <row r="92" spans="1:24" s="161" customFormat="1" ht="15" x14ac:dyDescent="0.25">
      <c r="A92" s="176" t="s">
        <v>488</v>
      </c>
      <c r="B92" s="153" t="s">
        <v>290</v>
      </c>
      <c r="C92" s="287">
        <v>5.8</v>
      </c>
      <c r="D92" s="287">
        <v>4</v>
      </c>
      <c r="E92" s="287">
        <f>26/E6</f>
        <v>4.9270418798559783</v>
      </c>
      <c r="F92" s="287">
        <f>25/F6</f>
        <v>4.6711509715994017</v>
      </c>
      <c r="G92" s="287">
        <f>29/G6</f>
        <v>5.6409258899046879</v>
      </c>
      <c r="H92" s="287">
        <f>29/H6</f>
        <v>5.580142389840292</v>
      </c>
      <c r="I92" s="287">
        <f>28/I6</f>
        <v>5.4666146036704415</v>
      </c>
      <c r="J92" s="287">
        <f>26/J6</f>
        <v>5.4009140008309098</v>
      </c>
      <c r="K92" s="287">
        <f>28/K6</f>
        <v>5.9676044330775788</v>
      </c>
      <c r="L92" s="287">
        <f>30/L6</f>
        <v>6.3371356147021549</v>
      </c>
      <c r="M92" s="287">
        <f>33/M6</f>
        <v>6.9473684210526319</v>
      </c>
      <c r="N92" s="287">
        <f>32/N6</f>
        <v>6.666666666666667</v>
      </c>
      <c r="O92" s="287">
        <f>32/O6</f>
        <v>6.5979381443298974</v>
      </c>
      <c r="P92" s="288">
        <f>32/P6</f>
        <v>6.5306122448979584</v>
      </c>
      <c r="Q92" s="257"/>
      <c r="R92" s="194"/>
      <c r="S92" s="185"/>
      <c r="T92" s="185"/>
    </row>
    <row r="93" spans="1:24" s="161" customFormat="1" ht="15" x14ac:dyDescent="0.25">
      <c r="A93" s="176" t="s">
        <v>489</v>
      </c>
      <c r="B93" s="153" t="s">
        <v>290</v>
      </c>
      <c r="C93" s="287">
        <v>17.3</v>
      </c>
      <c r="D93" s="287">
        <v>11</v>
      </c>
      <c r="E93" s="287">
        <f>96/E6</f>
        <v>18.192154633314384</v>
      </c>
      <c r="F93" s="287">
        <f>85/F6</f>
        <v>15.881913303437965</v>
      </c>
      <c r="G93" s="287">
        <f>83/G6</f>
        <v>16.144718926278934</v>
      </c>
      <c r="H93" s="287">
        <f>85/H6</f>
        <v>16.355589763324996</v>
      </c>
      <c r="I93" s="287">
        <f>86/I6</f>
        <v>16.790316282702069</v>
      </c>
      <c r="J93" s="287">
        <f>84/J6</f>
        <v>17.449106771915247</v>
      </c>
      <c r="K93" s="287">
        <f>84/K6</f>
        <v>17.902813299232736</v>
      </c>
      <c r="L93" s="287">
        <f>81/L6</f>
        <v>17.110266159695819</v>
      </c>
      <c r="M93" s="287">
        <f>80/M6</f>
        <v>16.842105263157894</v>
      </c>
      <c r="N93" s="287">
        <f>81/N6</f>
        <v>16.875</v>
      </c>
      <c r="O93" s="287">
        <f>83/O6</f>
        <v>17.11340206185567</v>
      </c>
      <c r="P93" s="288">
        <f>83/P6</f>
        <v>16.938775510204081</v>
      </c>
      <c r="Q93" s="257"/>
      <c r="R93" s="194"/>
      <c r="S93" s="185"/>
      <c r="T93" s="185"/>
    </row>
    <row r="94" spans="1:24" s="161" customFormat="1" ht="15" x14ac:dyDescent="0.25">
      <c r="A94" s="176" t="s">
        <v>490</v>
      </c>
      <c r="B94" s="153" t="s">
        <v>291</v>
      </c>
      <c r="C94" s="287">
        <v>2</v>
      </c>
      <c r="D94" s="287">
        <v>2</v>
      </c>
      <c r="E94" s="287">
        <v>2</v>
      </c>
      <c r="F94" s="287">
        <f>9/F6</f>
        <v>1.6816143497757847</v>
      </c>
      <c r="G94" s="333">
        <f t="shared" ref="G94:P94" si="14">7/G6</f>
        <v>1.3616028010114765</v>
      </c>
      <c r="H94" s="333">
        <f t="shared" si="14"/>
        <v>1.3469309216855878</v>
      </c>
      <c r="I94" s="333">
        <f t="shared" si="14"/>
        <v>1.3666536509176104</v>
      </c>
      <c r="J94" s="333">
        <f t="shared" si="14"/>
        <v>1.4540922309929372</v>
      </c>
      <c r="K94" s="333">
        <f t="shared" si="14"/>
        <v>1.4919011082693947</v>
      </c>
      <c r="L94" s="333">
        <f>7/L6</f>
        <v>1.478664976763836</v>
      </c>
      <c r="M94" s="333">
        <f>7/M6</f>
        <v>1.4736842105263157</v>
      </c>
      <c r="N94" s="333">
        <f t="shared" si="14"/>
        <v>1.4583333333333335</v>
      </c>
      <c r="O94" s="333">
        <f t="shared" si="14"/>
        <v>1.4432989690721651</v>
      </c>
      <c r="P94" s="334">
        <f t="shared" si="14"/>
        <v>1.4285714285714284</v>
      </c>
      <c r="Q94" s="257"/>
      <c r="R94" s="194"/>
      <c r="S94" s="185"/>
      <c r="T94" s="185"/>
    </row>
    <row r="95" spans="1:24" s="161" customFormat="1" ht="15" x14ac:dyDescent="0.25">
      <c r="A95" s="176" t="s">
        <v>491</v>
      </c>
      <c r="B95" s="153" t="s">
        <v>291</v>
      </c>
      <c r="C95" s="287">
        <v>1.75</v>
      </c>
      <c r="D95" s="287">
        <v>1.75</v>
      </c>
      <c r="E95" s="287">
        <v>1.75</v>
      </c>
      <c r="F95" s="287">
        <f>8/F6</f>
        <v>1.4947683109118086</v>
      </c>
      <c r="G95" s="333">
        <f t="shared" ref="G95:P95" si="15">7/G6</f>
        <v>1.3616028010114765</v>
      </c>
      <c r="H95" s="333">
        <f t="shared" si="15"/>
        <v>1.3469309216855878</v>
      </c>
      <c r="I95" s="333">
        <f>7/I6</f>
        <v>1.3666536509176104</v>
      </c>
      <c r="J95" s="333">
        <f t="shared" si="15"/>
        <v>1.4540922309929372</v>
      </c>
      <c r="K95" s="333">
        <f t="shared" si="15"/>
        <v>1.4919011082693947</v>
      </c>
      <c r="L95" s="333">
        <f>7/L6</f>
        <v>1.478664976763836</v>
      </c>
      <c r="M95" s="333">
        <f>7/M6</f>
        <v>1.4736842105263157</v>
      </c>
      <c r="N95" s="333">
        <f t="shared" si="15"/>
        <v>1.4583333333333335</v>
      </c>
      <c r="O95" s="333">
        <f t="shared" si="15"/>
        <v>1.4432989690721651</v>
      </c>
      <c r="P95" s="334">
        <f t="shared" si="15"/>
        <v>1.4285714285714284</v>
      </c>
      <c r="Q95" s="257"/>
      <c r="R95" s="194"/>
    </row>
    <row r="96" spans="1:24" s="161" customFormat="1" ht="15" x14ac:dyDescent="0.25">
      <c r="A96" s="152" t="s">
        <v>292</v>
      </c>
      <c r="B96" s="153" t="s">
        <v>293</v>
      </c>
      <c r="C96" s="299" t="s">
        <v>294</v>
      </c>
      <c r="D96" s="299" t="s">
        <v>294</v>
      </c>
      <c r="E96" s="299" t="s">
        <v>294</v>
      </c>
      <c r="F96" s="299" t="s">
        <v>294</v>
      </c>
      <c r="G96" s="335" t="s">
        <v>294</v>
      </c>
      <c r="H96" s="335" t="s">
        <v>294</v>
      </c>
      <c r="I96" s="335" t="s">
        <v>294</v>
      </c>
      <c r="J96" s="335" t="s">
        <v>294</v>
      </c>
      <c r="K96" s="335" t="s">
        <v>294</v>
      </c>
      <c r="L96" s="335" t="s">
        <v>294</v>
      </c>
      <c r="M96" s="335" t="s">
        <v>294</v>
      </c>
      <c r="N96" s="335" t="s">
        <v>294</v>
      </c>
      <c r="O96" s="335" t="s">
        <v>294</v>
      </c>
      <c r="P96" s="336" t="s">
        <v>294</v>
      </c>
      <c r="Q96" s="337"/>
      <c r="R96" s="194"/>
      <c r="S96" s="185"/>
      <c r="U96" s="185"/>
    </row>
    <row r="97" spans="1:32" s="145" customFormat="1" ht="13.5" thickBot="1" x14ac:dyDescent="0.25">
      <c r="A97" s="431" t="s">
        <v>492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7"/>
      <c r="Q97" s="150"/>
      <c r="R97" s="151"/>
    </row>
    <row r="98" spans="1:32" s="161" customFormat="1" ht="15.75" thickBot="1" x14ac:dyDescent="0.3">
      <c r="A98" s="338" t="s">
        <v>296</v>
      </c>
      <c r="B98" s="153" t="s">
        <v>297</v>
      </c>
      <c r="C98" s="242">
        <v>67.91</v>
      </c>
      <c r="D98" s="242">
        <f t="shared" ref="D98:P98" si="16">SUM(D100+D101)</f>
        <v>89.86</v>
      </c>
      <c r="E98" s="242">
        <f>SUM(E100+E101)</f>
        <v>90.25200000000001</v>
      </c>
      <c r="F98" s="242">
        <f>SUM(F100+F101)</f>
        <v>82.804000000000002</v>
      </c>
      <c r="G98" s="242">
        <f t="shared" si="16"/>
        <v>74.045000000000002</v>
      </c>
      <c r="H98" s="242">
        <f t="shared" si="16"/>
        <v>81.573000000000008</v>
      </c>
      <c r="I98" s="339">
        <f t="shared" si="16"/>
        <v>79.580000000000013</v>
      </c>
      <c r="J98" s="339">
        <f t="shared" si="16"/>
        <v>78.180000000000007</v>
      </c>
      <c r="K98" s="339">
        <f t="shared" si="16"/>
        <v>71.599999999999994</v>
      </c>
      <c r="L98" s="339">
        <f t="shared" si="16"/>
        <v>73.3</v>
      </c>
      <c r="M98" s="339">
        <f t="shared" si="16"/>
        <v>75.09</v>
      </c>
      <c r="N98" s="339">
        <f t="shared" si="16"/>
        <v>77.7</v>
      </c>
      <c r="O98" s="339">
        <f t="shared" si="16"/>
        <v>78.5</v>
      </c>
      <c r="P98" s="340">
        <f t="shared" si="16"/>
        <v>79.3</v>
      </c>
      <c r="Q98" s="316"/>
      <c r="R98" s="194"/>
      <c r="S98" s="425" t="s">
        <v>493</v>
      </c>
      <c r="T98" s="426"/>
      <c r="U98" s="426"/>
      <c r="V98" s="426"/>
      <c r="W98" s="426"/>
      <c r="X98" s="426"/>
      <c r="Y98" s="426"/>
      <c r="Z98" s="426"/>
      <c r="AA98" s="427"/>
    </row>
    <row r="99" spans="1:32" s="161" customFormat="1" ht="15.75" thickBot="1" x14ac:dyDescent="0.3">
      <c r="A99" s="428" t="s">
        <v>494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30"/>
      <c r="Q99" s="173"/>
      <c r="R99" s="194"/>
      <c r="S99" s="341"/>
      <c r="T99" s="342">
        <v>2014</v>
      </c>
      <c r="U99" s="342">
        <v>2015</v>
      </c>
      <c r="V99" s="342">
        <v>2016</v>
      </c>
      <c r="W99" s="343">
        <v>2017</v>
      </c>
      <c r="X99" s="343">
        <v>2018</v>
      </c>
      <c r="Y99" s="343">
        <v>2019</v>
      </c>
      <c r="Z99" s="343">
        <v>2020</v>
      </c>
      <c r="AA99" s="344">
        <v>2021</v>
      </c>
    </row>
    <row r="100" spans="1:32" s="161" customFormat="1" ht="15" x14ac:dyDescent="0.25">
      <c r="A100" s="152" t="s">
        <v>298</v>
      </c>
      <c r="B100" s="153" t="s">
        <v>297</v>
      </c>
      <c r="C100" s="345">
        <v>52.2806</v>
      </c>
      <c r="D100" s="346">
        <v>76.52</v>
      </c>
      <c r="E100" s="345">
        <v>76.132000000000005</v>
      </c>
      <c r="F100" s="345">
        <v>70.33</v>
      </c>
      <c r="G100" s="345">
        <v>61.095999999999997</v>
      </c>
      <c r="H100" s="345">
        <v>70.483000000000004</v>
      </c>
      <c r="I100" s="347">
        <v>68.540000000000006</v>
      </c>
      <c r="J100" s="347">
        <v>68.23</v>
      </c>
      <c r="K100" s="347">
        <v>61</v>
      </c>
      <c r="L100" s="347">
        <v>63.18</v>
      </c>
      <c r="M100" s="347">
        <v>64.47</v>
      </c>
      <c r="N100" s="347">
        <v>70.180000000000007</v>
      </c>
      <c r="O100" s="347">
        <v>70.900000000000006</v>
      </c>
      <c r="P100" s="348">
        <v>71.599999999999994</v>
      </c>
      <c r="Q100" s="349"/>
      <c r="R100" s="194"/>
      <c r="S100" s="350" t="s">
        <v>495</v>
      </c>
      <c r="T100" s="351">
        <v>32.04</v>
      </c>
      <c r="U100" s="351">
        <v>35.729999999999997</v>
      </c>
      <c r="V100" s="351">
        <v>30.2</v>
      </c>
      <c r="W100" s="351">
        <v>58</v>
      </c>
      <c r="X100" s="351">
        <v>54</v>
      </c>
      <c r="Y100" s="351">
        <v>51</v>
      </c>
      <c r="Z100" s="351">
        <v>51</v>
      </c>
      <c r="AA100" s="352">
        <v>51</v>
      </c>
    </row>
    <row r="101" spans="1:32" s="161" customFormat="1" ht="15" x14ac:dyDescent="0.25">
      <c r="A101" s="152" t="s">
        <v>299</v>
      </c>
      <c r="B101" s="153" t="s">
        <v>297</v>
      </c>
      <c r="C101" s="242">
        <v>15.6325</v>
      </c>
      <c r="D101" s="242">
        <v>13.34</v>
      </c>
      <c r="E101" s="242">
        <f>13.396+0.724</f>
        <v>14.120000000000001</v>
      </c>
      <c r="F101" s="242">
        <f>12.421+0.053</f>
        <v>12.474</v>
      </c>
      <c r="G101" s="242">
        <f>0.02+12.929</f>
        <v>12.949</v>
      </c>
      <c r="H101" s="242">
        <f>11+0.03+0.06</f>
        <v>11.09</v>
      </c>
      <c r="I101" s="353">
        <f>11.04</f>
        <v>11.04</v>
      </c>
      <c r="J101" s="353">
        <v>9.9499999999999993</v>
      </c>
      <c r="K101" s="353">
        <v>10.6</v>
      </c>
      <c r="L101" s="353">
        <v>10.119999999999999</v>
      </c>
      <c r="M101" s="353">
        <v>10.62</v>
      </c>
      <c r="N101" s="262">
        <v>7.52</v>
      </c>
      <c r="O101" s="354">
        <v>7.6</v>
      </c>
      <c r="P101" s="355">
        <v>7.7</v>
      </c>
      <c r="Q101" s="356"/>
      <c r="R101" s="194"/>
      <c r="S101" s="357" t="s">
        <v>496</v>
      </c>
      <c r="T101" s="179">
        <v>89.1</v>
      </c>
      <c r="U101" s="179">
        <v>119.3</v>
      </c>
      <c r="V101" s="179">
        <v>20.5</v>
      </c>
      <c r="W101" s="179">
        <v>74.400000000000006</v>
      </c>
      <c r="X101" s="179">
        <v>65.2</v>
      </c>
      <c r="Y101" s="179">
        <v>70</v>
      </c>
      <c r="Z101" s="179">
        <v>70</v>
      </c>
      <c r="AA101" s="358">
        <v>70</v>
      </c>
    </row>
    <row r="102" spans="1:32" s="161" customFormat="1" ht="15" x14ac:dyDescent="0.25">
      <c r="A102" s="359" t="s">
        <v>300</v>
      </c>
      <c r="B102" s="360" t="s">
        <v>301</v>
      </c>
      <c r="C102" s="354">
        <f>97.573+61.513</f>
        <v>159.08599999999998</v>
      </c>
      <c r="D102" s="354">
        <v>144.6</v>
      </c>
      <c r="E102" s="354">
        <f>53.658+92.861</f>
        <v>146.51900000000001</v>
      </c>
      <c r="F102" s="354">
        <f>58.455+104.417</f>
        <v>162.87200000000001</v>
      </c>
      <c r="G102" s="354">
        <f>111.751+46.459</f>
        <v>158.21</v>
      </c>
      <c r="H102" s="354">
        <f>51.1+100.8+8</f>
        <v>159.9</v>
      </c>
      <c r="I102" s="354">
        <v>133.9</v>
      </c>
      <c r="J102" s="354">
        <v>135.30000000000001</v>
      </c>
      <c r="K102" s="354">
        <v>125.2</v>
      </c>
      <c r="L102" s="354">
        <v>124.4</v>
      </c>
      <c r="M102" s="354">
        <v>126</v>
      </c>
      <c r="N102" s="354">
        <v>126.8</v>
      </c>
      <c r="O102" s="354">
        <v>128.1</v>
      </c>
      <c r="P102" s="355">
        <v>129.4</v>
      </c>
      <c r="Q102" s="356"/>
      <c r="R102" s="356"/>
      <c r="S102" s="357" t="s">
        <v>497</v>
      </c>
      <c r="T102" s="179">
        <v>48.4</v>
      </c>
      <c r="U102" s="179">
        <v>25.2</v>
      </c>
      <c r="V102" s="179">
        <v>23</v>
      </c>
      <c r="W102" s="179">
        <v>32.6</v>
      </c>
      <c r="X102" s="179">
        <v>28.2</v>
      </c>
      <c r="Y102" s="179">
        <v>38.9</v>
      </c>
      <c r="Z102" s="179">
        <v>40</v>
      </c>
      <c r="AA102" s="358">
        <v>40</v>
      </c>
      <c r="AB102" s="361"/>
      <c r="AC102" s="361"/>
      <c r="AD102" s="361"/>
      <c r="AE102" s="361"/>
      <c r="AF102" s="361"/>
    </row>
    <row r="103" spans="1:32" s="161" customFormat="1" ht="15" x14ac:dyDescent="0.25">
      <c r="A103" s="359" t="s">
        <v>302</v>
      </c>
      <c r="B103" s="360" t="s">
        <v>301</v>
      </c>
      <c r="C103" s="354">
        <f>84.698+45.037</f>
        <v>129.73499999999999</v>
      </c>
      <c r="D103" s="354">
        <v>124.7</v>
      </c>
      <c r="E103" s="354">
        <f>38.439+80.325</f>
        <v>118.76400000000001</v>
      </c>
      <c r="F103" s="354">
        <f>44.179+92.738</f>
        <v>136.917</v>
      </c>
      <c r="G103" s="354">
        <f>107.204+37.565</f>
        <v>144.76900000000001</v>
      </c>
      <c r="H103" s="354">
        <f>40.1+96.346</f>
        <v>136.446</v>
      </c>
      <c r="I103" s="354">
        <v>120.5</v>
      </c>
      <c r="J103" s="354">
        <v>127.1</v>
      </c>
      <c r="K103" s="354">
        <v>116.4</v>
      </c>
      <c r="L103" s="354">
        <v>114.3</v>
      </c>
      <c r="M103" s="354">
        <v>113.1</v>
      </c>
      <c r="N103" s="354">
        <v>116.3</v>
      </c>
      <c r="O103" s="354">
        <v>117.4</v>
      </c>
      <c r="P103" s="355">
        <v>118.6</v>
      </c>
      <c r="Q103" s="356"/>
      <c r="R103" s="194"/>
      <c r="S103" s="357" t="s">
        <v>498</v>
      </c>
      <c r="T103" s="179">
        <v>124.4</v>
      </c>
      <c r="U103" s="179">
        <v>101.7</v>
      </c>
      <c r="V103" s="179">
        <v>168.2</v>
      </c>
      <c r="W103" s="179">
        <v>91.5</v>
      </c>
      <c r="X103" s="179">
        <v>68.2</v>
      </c>
      <c r="Y103" s="179">
        <v>68.900000000000006</v>
      </c>
      <c r="Z103" s="179">
        <v>70</v>
      </c>
      <c r="AA103" s="358">
        <v>70</v>
      </c>
    </row>
    <row r="104" spans="1:32" s="161" customFormat="1" ht="15.75" thickBot="1" x14ac:dyDescent="0.3">
      <c r="A104" s="152" t="s">
        <v>303</v>
      </c>
      <c r="B104" s="153" t="s">
        <v>304</v>
      </c>
      <c r="C104" s="306">
        <f>264+5.7+490+50</f>
        <v>809.7</v>
      </c>
      <c r="D104" s="362">
        <f>128+470+16.3+130</f>
        <v>744.3</v>
      </c>
      <c r="E104" s="362">
        <v>793.2</v>
      </c>
      <c r="F104" s="362">
        <v>837.79</v>
      </c>
      <c r="G104" s="339">
        <v>1089.5050000000001</v>
      </c>
      <c r="H104" s="339">
        <f>692.8+45.21+165+169</f>
        <v>1072.01</v>
      </c>
      <c r="I104" s="363">
        <f>611.08+35.796+211.3+190.667</f>
        <v>1048.8430000000001</v>
      </c>
      <c r="J104" s="363">
        <v>1007.06</v>
      </c>
      <c r="K104" s="363">
        <v>985.84900000000005</v>
      </c>
      <c r="L104" s="363">
        <v>1063.7</v>
      </c>
      <c r="M104" s="363">
        <v>1140.25</v>
      </c>
      <c r="N104" s="363">
        <v>935</v>
      </c>
      <c r="O104" s="363">
        <v>1135</v>
      </c>
      <c r="P104" s="364">
        <v>1135</v>
      </c>
      <c r="Q104" s="365"/>
      <c r="R104" s="194"/>
      <c r="S104" s="366" t="s">
        <v>305</v>
      </c>
      <c r="T104" s="367">
        <f t="shared" ref="T104:Y104" si="17">T100+T101+T102+T103</f>
        <v>293.94</v>
      </c>
      <c r="U104" s="367">
        <f t="shared" si="17"/>
        <v>281.93</v>
      </c>
      <c r="V104" s="367">
        <f t="shared" si="17"/>
        <v>241.89999999999998</v>
      </c>
      <c r="W104" s="367">
        <f t="shared" si="17"/>
        <v>256.5</v>
      </c>
      <c r="X104" s="367">
        <f t="shared" si="17"/>
        <v>215.60000000000002</v>
      </c>
      <c r="Y104" s="367">
        <f t="shared" si="17"/>
        <v>228.8</v>
      </c>
      <c r="Z104" s="367">
        <f>Z100+Z101+Z102+Z103</f>
        <v>231</v>
      </c>
      <c r="AA104" s="368">
        <f>AA100+AA101+AA102+AA103</f>
        <v>231</v>
      </c>
    </row>
    <row r="105" spans="1:32" s="161" customFormat="1" ht="15.75" thickBot="1" x14ac:dyDescent="0.3">
      <c r="A105" s="152" t="s">
        <v>306</v>
      </c>
      <c r="B105" s="153" t="s">
        <v>307</v>
      </c>
      <c r="C105" s="339">
        <f>175+32+50+3</f>
        <v>260</v>
      </c>
      <c r="D105" s="339">
        <v>230.3</v>
      </c>
      <c r="E105" s="339">
        <f>242+69+46+52.339</f>
        <v>409.339</v>
      </c>
      <c r="F105" s="339">
        <v>413.2</v>
      </c>
      <c r="G105" s="339">
        <v>337</v>
      </c>
      <c r="H105" s="339">
        <v>275.31</v>
      </c>
      <c r="I105" s="339">
        <v>293.94</v>
      </c>
      <c r="J105" s="339">
        <v>282</v>
      </c>
      <c r="K105" s="339">
        <v>241.9</v>
      </c>
      <c r="L105" s="339">
        <v>256.5</v>
      </c>
      <c r="M105" s="339">
        <v>215.6</v>
      </c>
      <c r="N105" s="339">
        <v>228.8</v>
      </c>
      <c r="O105" s="339">
        <v>231</v>
      </c>
      <c r="P105" s="340">
        <v>231</v>
      </c>
      <c r="Q105" s="369"/>
      <c r="R105" s="194"/>
      <c r="T105" s="370">
        <f t="shared" ref="T105:Y105" si="18">T104-T100</f>
        <v>261.89999999999998</v>
      </c>
      <c r="U105" s="371">
        <f t="shared" si="18"/>
        <v>246.20000000000002</v>
      </c>
      <c r="V105" s="371">
        <f t="shared" si="18"/>
        <v>211.7</v>
      </c>
      <c r="W105" s="371">
        <f t="shared" si="18"/>
        <v>198.5</v>
      </c>
      <c r="X105" s="371">
        <f t="shared" si="18"/>
        <v>161.60000000000002</v>
      </c>
      <c r="Y105" s="371">
        <f t="shared" si="18"/>
        <v>177.8</v>
      </c>
      <c r="Z105" s="371">
        <f>Z104-Z100</f>
        <v>180</v>
      </c>
      <c r="AA105" s="372">
        <f>AA104-AA100</f>
        <v>180</v>
      </c>
    </row>
    <row r="106" spans="1:32" s="161" customFormat="1" ht="15" x14ac:dyDescent="0.25">
      <c r="A106" s="152" t="s">
        <v>308</v>
      </c>
      <c r="B106" s="153" t="s">
        <v>307</v>
      </c>
      <c r="C106" s="306" t="s">
        <v>247</v>
      </c>
      <c r="D106" s="306">
        <v>6</v>
      </c>
      <c r="E106" s="306">
        <v>59.9</v>
      </c>
      <c r="F106" s="306">
        <v>54</v>
      </c>
      <c r="G106" s="306">
        <v>56.1</v>
      </c>
      <c r="H106" s="306">
        <v>56.4</v>
      </c>
      <c r="I106" s="306">
        <v>60.7</v>
      </c>
      <c r="J106" s="306">
        <v>56.4</v>
      </c>
      <c r="K106" s="306">
        <v>65</v>
      </c>
      <c r="L106" s="306">
        <v>54.5</v>
      </c>
      <c r="M106" s="306">
        <v>50</v>
      </c>
      <c r="N106" s="306">
        <v>50</v>
      </c>
      <c r="O106" s="306">
        <v>50</v>
      </c>
      <c r="P106" s="373">
        <v>50</v>
      </c>
      <c r="Q106" s="174"/>
      <c r="R106" s="194"/>
    </row>
    <row r="107" spans="1:32" s="161" customFormat="1" ht="15.75" thickBot="1" x14ac:dyDescent="0.3">
      <c r="A107" s="374" t="s">
        <v>309</v>
      </c>
      <c r="B107" s="375" t="s">
        <v>307</v>
      </c>
      <c r="C107" s="376">
        <f>215.48+82</f>
        <v>297.48</v>
      </c>
      <c r="D107" s="376">
        <v>282.68</v>
      </c>
      <c r="E107" s="376">
        <v>267.94600000000003</v>
      </c>
      <c r="F107" s="376">
        <v>247.77</v>
      </c>
      <c r="G107" s="376">
        <v>244.35</v>
      </c>
      <c r="H107" s="376">
        <v>236.47</v>
      </c>
      <c r="I107" s="376">
        <v>239.7</v>
      </c>
      <c r="J107" s="376">
        <v>250.97</v>
      </c>
      <c r="K107" s="376">
        <v>243.36</v>
      </c>
      <c r="L107" s="376">
        <v>246.7</v>
      </c>
      <c r="M107" s="376">
        <v>244.2</v>
      </c>
      <c r="N107" s="376">
        <v>253.97</v>
      </c>
      <c r="O107" s="376">
        <v>253.97</v>
      </c>
      <c r="P107" s="377">
        <v>253.97</v>
      </c>
      <c r="Q107" s="369"/>
      <c r="R107" s="194"/>
      <c r="V107" s="161">
        <f>224.8/12*9</f>
        <v>168.60000000000002</v>
      </c>
      <c r="W107" s="161">
        <f>W105/12*9</f>
        <v>148.875</v>
      </c>
    </row>
    <row r="122" spans="2:256" x14ac:dyDescent="0.2">
      <c r="J122" s="49">
        <f>2039/2756</f>
        <v>0.73984034833091439</v>
      </c>
    </row>
    <row r="123" spans="2:256" x14ac:dyDescent="0.2">
      <c r="J123" s="49">
        <f>2763*0.74</f>
        <v>2044.62</v>
      </c>
    </row>
    <row r="126" spans="2:256" s="53" customFormat="1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 x14ac:dyDescent="0.2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A5:P5"/>
    <mergeCell ref="A2:P2"/>
    <mergeCell ref="AW2:BA2"/>
    <mergeCell ref="A3:A4"/>
    <mergeCell ref="B3:B4"/>
    <mergeCell ref="N3:P3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S98:AA98"/>
    <mergeCell ref="A99:P99"/>
    <mergeCell ref="A61:O61"/>
    <mergeCell ref="A72:P72"/>
    <mergeCell ref="A74:P74"/>
    <mergeCell ref="A81:P81"/>
    <mergeCell ref="A88:P88"/>
    <mergeCell ref="A97:P97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25" sqref="H25"/>
    </sheetView>
  </sheetViews>
  <sheetFormatPr defaultRowHeight="15" x14ac:dyDescent="0.2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 x14ac:dyDescent="0.25">
      <c r="E1" s="460" t="s">
        <v>499</v>
      </c>
      <c r="F1" s="460"/>
      <c r="G1" s="460"/>
      <c r="H1" s="460"/>
    </row>
    <row r="2" spans="1:8" ht="34.5" customHeight="1" x14ac:dyDescent="0.25">
      <c r="E2" s="461" t="s">
        <v>500</v>
      </c>
      <c r="F2" s="461"/>
      <c r="G2" s="461"/>
      <c r="H2" s="461"/>
    </row>
    <row r="5" spans="1:8" ht="51.75" customHeight="1" x14ac:dyDescent="0.3">
      <c r="A5" s="462" t="s">
        <v>501</v>
      </c>
      <c r="B5" s="462"/>
      <c r="C5" s="462"/>
      <c r="D5" s="462"/>
      <c r="E5" s="462"/>
      <c r="F5" s="462"/>
      <c r="G5" s="462"/>
      <c r="H5" s="462"/>
    </row>
    <row r="7" spans="1:8" ht="15.75" thickBot="1" x14ac:dyDescent="0.3"/>
    <row r="8" spans="1:8" ht="31.5" customHeight="1" x14ac:dyDescent="0.25">
      <c r="A8" s="463" t="s">
        <v>310</v>
      </c>
      <c r="B8" s="457"/>
      <c r="C8" s="465" t="s">
        <v>502</v>
      </c>
      <c r="D8" s="467" t="s">
        <v>503</v>
      </c>
      <c r="E8" s="465" t="s">
        <v>504</v>
      </c>
      <c r="F8" s="465" t="s">
        <v>312</v>
      </c>
      <c r="G8" s="465"/>
      <c r="H8" s="469"/>
    </row>
    <row r="9" spans="1:8" ht="16.5" thickBot="1" x14ac:dyDescent="0.3">
      <c r="A9" s="464"/>
      <c r="B9" s="459"/>
      <c r="C9" s="466"/>
      <c r="D9" s="468"/>
      <c r="E9" s="466"/>
      <c r="F9" s="55" t="s">
        <v>313</v>
      </c>
      <c r="G9" s="55" t="s">
        <v>414</v>
      </c>
      <c r="H9" s="56" t="s">
        <v>505</v>
      </c>
    </row>
    <row r="10" spans="1:8" ht="37.5" customHeight="1" x14ac:dyDescent="0.25">
      <c r="A10" s="454" t="s">
        <v>314</v>
      </c>
      <c r="B10" s="57" t="s">
        <v>315</v>
      </c>
      <c r="C10" s="457" t="s">
        <v>297</v>
      </c>
      <c r="D10" s="378">
        <f>D12+D13</f>
        <v>73.3</v>
      </c>
      <c r="E10" s="378">
        <f>E12+E13</f>
        <v>75.099999999999994</v>
      </c>
      <c r="F10" s="378">
        <f>F12+F13</f>
        <v>77.7</v>
      </c>
      <c r="G10" s="378">
        <f>G12+G13</f>
        <v>78.5</v>
      </c>
      <c r="H10" s="379">
        <f>H12+H13</f>
        <v>79.3</v>
      </c>
    </row>
    <row r="11" spans="1:8" ht="15.75" x14ac:dyDescent="0.25">
      <c r="A11" s="455"/>
      <c r="B11" s="58" t="s">
        <v>244</v>
      </c>
      <c r="C11" s="458"/>
      <c r="D11" s="104"/>
      <c r="E11" s="59"/>
      <c r="F11" s="59"/>
      <c r="G11" s="59"/>
      <c r="H11" s="60"/>
    </row>
    <row r="12" spans="1:8" ht="15.75" x14ac:dyDescent="0.25">
      <c r="A12" s="455"/>
      <c r="B12" s="61" t="s">
        <v>316</v>
      </c>
      <c r="C12" s="458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 x14ac:dyDescent="0.3">
      <c r="A13" s="456"/>
      <c r="B13" s="64" t="s">
        <v>317</v>
      </c>
      <c r="C13" s="459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 x14ac:dyDescent="0.25">
      <c r="A14" s="454" t="s">
        <v>318</v>
      </c>
      <c r="B14" s="57" t="s">
        <v>506</v>
      </c>
      <c r="C14" s="457" t="s">
        <v>301</v>
      </c>
      <c r="D14" s="67">
        <f>D16+D17+D18</f>
        <v>124.5</v>
      </c>
      <c r="E14" s="380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 x14ac:dyDescent="0.25">
      <c r="A15" s="455"/>
      <c r="B15" s="58" t="s">
        <v>244</v>
      </c>
      <c r="C15" s="458"/>
      <c r="D15" s="104"/>
      <c r="E15" s="59"/>
      <c r="F15" s="59"/>
      <c r="G15" s="59"/>
      <c r="H15" s="60"/>
    </row>
    <row r="16" spans="1:8" ht="15.75" x14ac:dyDescent="0.25">
      <c r="A16" s="455"/>
      <c r="B16" s="61" t="s">
        <v>319</v>
      </c>
      <c r="C16" s="458"/>
      <c r="D16" s="104">
        <v>87.1</v>
      </c>
      <c r="E16" s="381">
        <v>83.6</v>
      </c>
      <c r="F16" s="69">
        <v>87.8</v>
      </c>
      <c r="G16" s="69">
        <v>88.7</v>
      </c>
      <c r="H16" s="70">
        <v>89.6</v>
      </c>
    </row>
    <row r="17" spans="1:9" ht="15.75" x14ac:dyDescent="0.25">
      <c r="A17" s="455"/>
      <c r="B17" s="61" t="s">
        <v>317</v>
      </c>
      <c r="C17" s="458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 x14ac:dyDescent="0.3">
      <c r="A18" s="456"/>
      <c r="B18" s="64" t="s">
        <v>320</v>
      </c>
      <c r="C18" s="459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 x14ac:dyDescent="0.3">
      <c r="A19" s="71" t="s">
        <v>321</v>
      </c>
      <c r="B19" s="72" t="s">
        <v>322</v>
      </c>
      <c r="C19" s="73" t="s">
        <v>323</v>
      </c>
      <c r="D19" s="382">
        <v>1063.7</v>
      </c>
      <c r="E19" s="383">
        <v>1140.3</v>
      </c>
      <c r="F19" s="383">
        <v>935</v>
      </c>
      <c r="G19" s="383">
        <v>1135</v>
      </c>
      <c r="H19" s="384">
        <v>1135</v>
      </c>
      <c r="I19" s="76"/>
    </row>
    <row r="20" spans="1:9" ht="16.5" thickBot="1" x14ac:dyDescent="0.3">
      <c r="A20" s="71" t="s">
        <v>324</v>
      </c>
      <c r="B20" s="72" t="s">
        <v>325</v>
      </c>
      <c r="C20" s="73" t="s">
        <v>295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 x14ac:dyDescent="0.3">
      <c r="A21" s="71" t="s">
        <v>326</v>
      </c>
      <c r="B21" s="72" t="s">
        <v>309</v>
      </c>
      <c r="C21" s="73" t="s">
        <v>295</v>
      </c>
      <c r="D21" s="73">
        <v>246.7</v>
      </c>
      <c r="E21" s="74">
        <v>244.2</v>
      </c>
      <c r="F21" s="383">
        <v>254</v>
      </c>
      <c r="G21" s="383">
        <v>254</v>
      </c>
      <c r="H21" s="384">
        <v>254</v>
      </c>
    </row>
    <row r="22" spans="1:9" ht="16.5" thickBot="1" x14ac:dyDescent="0.3">
      <c r="A22" s="71" t="s">
        <v>327</v>
      </c>
      <c r="B22" s="72" t="s">
        <v>308</v>
      </c>
      <c r="C22" s="73" t="s">
        <v>295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 x14ac:dyDescent="0.3">
      <c r="A25" s="77"/>
    </row>
    <row r="26" spans="1:9" ht="18.75" x14ac:dyDescent="0.3">
      <c r="A26" s="77"/>
    </row>
    <row r="27" spans="1:9" ht="18.75" x14ac:dyDescent="0.3">
      <c r="A27" s="77"/>
    </row>
    <row r="28" spans="1:9" ht="15.75" x14ac:dyDescent="0.2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" sqref="C2:E2"/>
    </sheetView>
  </sheetViews>
  <sheetFormatPr defaultRowHeight="15" x14ac:dyDescent="0.2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 x14ac:dyDescent="0.25">
      <c r="D1" s="460" t="s">
        <v>328</v>
      </c>
      <c r="E1" s="460"/>
    </row>
    <row r="2" spans="1:5" ht="29.25" customHeight="1" x14ac:dyDescent="0.25">
      <c r="C2" s="461" t="s">
        <v>500</v>
      </c>
      <c r="D2" s="461"/>
      <c r="E2" s="461"/>
    </row>
    <row r="4" spans="1:5" ht="47.25" customHeight="1" x14ac:dyDescent="0.3">
      <c r="A4" s="470" t="s">
        <v>507</v>
      </c>
      <c r="B4" s="470"/>
      <c r="C4" s="470"/>
      <c r="D4" s="470"/>
      <c r="E4" s="470"/>
    </row>
    <row r="7" spans="1:5" ht="56.25" x14ac:dyDescent="0.25">
      <c r="A7" s="79" t="s">
        <v>329</v>
      </c>
      <c r="B7" s="79" t="s">
        <v>311</v>
      </c>
      <c r="C7" s="79" t="s">
        <v>508</v>
      </c>
      <c r="D7" s="79" t="s">
        <v>509</v>
      </c>
      <c r="E7" s="79" t="s">
        <v>419</v>
      </c>
    </row>
    <row r="8" spans="1:5" ht="87" customHeight="1" x14ac:dyDescent="0.25">
      <c r="A8" s="80" t="s">
        <v>330</v>
      </c>
      <c r="B8" s="81" t="s">
        <v>331</v>
      </c>
      <c r="C8" s="82">
        <v>36.5</v>
      </c>
      <c r="D8" s="82">
        <v>0</v>
      </c>
      <c r="E8" s="82">
        <v>0</v>
      </c>
    </row>
    <row r="9" spans="1:5" ht="21.75" customHeight="1" x14ac:dyDescent="0.25">
      <c r="A9" s="80" t="s">
        <v>332</v>
      </c>
      <c r="B9" s="81" t="s">
        <v>331</v>
      </c>
      <c r="C9" s="82">
        <v>136</v>
      </c>
      <c r="D9" s="82">
        <v>112.6</v>
      </c>
      <c r="E9" s="82">
        <v>117.1</v>
      </c>
    </row>
    <row r="10" spans="1:5" ht="18.75" x14ac:dyDescent="0.25">
      <c r="A10" s="80" t="s">
        <v>333</v>
      </c>
      <c r="B10" s="81" t="s">
        <v>331</v>
      </c>
      <c r="C10" s="82">
        <v>63.4</v>
      </c>
      <c r="D10" s="385">
        <v>125</v>
      </c>
      <c r="E10" s="385">
        <v>130</v>
      </c>
    </row>
    <row r="11" spans="1:5" ht="25.5" customHeight="1" x14ac:dyDescent="0.25">
      <c r="A11" s="80" t="s">
        <v>334</v>
      </c>
      <c r="B11" s="81" t="s">
        <v>331</v>
      </c>
      <c r="C11" s="82">
        <v>9.3000000000000007</v>
      </c>
      <c r="D11" s="82">
        <v>6.6</v>
      </c>
      <c r="E11" s="82">
        <v>6.9</v>
      </c>
    </row>
    <row r="12" spans="1:5" ht="57" customHeight="1" x14ac:dyDescent="0.25">
      <c r="A12" s="80" t="s">
        <v>335</v>
      </c>
      <c r="B12" s="81" t="s">
        <v>331</v>
      </c>
      <c r="C12" s="82">
        <v>1.5</v>
      </c>
      <c r="D12" s="82">
        <v>0</v>
      </c>
      <c r="E12" s="82">
        <v>0</v>
      </c>
    </row>
    <row r="13" spans="1:5" ht="19.5" x14ac:dyDescent="0.25">
      <c r="A13" s="83" t="s">
        <v>305</v>
      </c>
      <c r="B13" s="79" t="s">
        <v>331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N7" sqref="N7"/>
    </sheetView>
  </sheetViews>
  <sheetFormatPr defaultRowHeight="15" x14ac:dyDescent="0.2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 x14ac:dyDescent="0.25">
      <c r="J1" s="460" t="s">
        <v>336</v>
      </c>
      <c r="K1" s="460"/>
    </row>
    <row r="2" spans="1:11" ht="35.25" customHeight="1" x14ac:dyDescent="0.25">
      <c r="H2" s="461" t="s">
        <v>500</v>
      </c>
      <c r="I2" s="461"/>
      <c r="J2" s="461"/>
      <c r="K2" s="461"/>
    </row>
    <row r="4" spans="1:11" x14ac:dyDescent="0.25">
      <c r="A4" s="472" t="s">
        <v>510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6" spans="1:11" x14ac:dyDescent="0.25">
      <c r="A6" s="473"/>
      <c r="B6" s="474" t="s">
        <v>511</v>
      </c>
      <c r="C6" s="474"/>
      <c r="D6" s="474"/>
      <c r="E6" s="474" t="s">
        <v>512</v>
      </c>
      <c r="F6" s="474"/>
      <c r="G6" s="474"/>
      <c r="H6" s="474" t="s">
        <v>419</v>
      </c>
      <c r="I6" s="474"/>
      <c r="J6" s="474"/>
      <c r="K6" s="474"/>
    </row>
    <row r="7" spans="1:11" ht="22.5" customHeight="1" x14ac:dyDescent="0.25">
      <c r="A7" s="473"/>
      <c r="B7" s="475" t="s">
        <v>415</v>
      </c>
      <c r="C7" s="473" t="s">
        <v>337</v>
      </c>
      <c r="D7" s="473"/>
      <c r="E7" s="475" t="s">
        <v>513</v>
      </c>
      <c r="F7" s="473" t="s">
        <v>337</v>
      </c>
      <c r="G7" s="473"/>
      <c r="H7" s="475" t="s">
        <v>416</v>
      </c>
      <c r="I7" s="473" t="s">
        <v>337</v>
      </c>
      <c r="J7" s="473"/>
      <c r="K7" s="475" t="s">
        <v>514</v>
      </c>
    </row>
    <row r="8" spans="1:11" ht="30" x14ac:dyDescent="0.25">
      <c r="A8" s="473"/>
      <c r="B8" s="475"/>
      <c r="C8" s="109" t="s">
        <v>338</v>
      </c>
      <c r="D8" s="108" t="s">
        <v>339</v>
      </c>
      <c r="E8" s="475"/>
      <c r="F8" s="109" t="s">
        <v>338</v>
      </c>
      <c r="G8" s="108" t="s">
        <v>339</v>
      </c>
      <c r="H8" s="475"/>
      <c r="I8" s="109" t="s">
        <v>338</v>
      </c>
      <c r="J8" s="108" t="s">
        <v>339</v>
      </c>
      <c r="K8" s="475"/>
    </row>
    <row r="9" spans="1:11" ht="15.75" x14ac:dyDescent="0.25">
      <c r="A9" s="471" t="s">
        <v>340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</row>
    <row r="10" spans="1:11" ht="15.75" x14ac:dyDescent="0.25">
      <c r="A10" s="85" t="s">
        <v>341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 x14ac:dyDescent="0.25">
      <c r="A11" s="85" t="s">
        <v>342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 x14ac:dyDescent="0.25">
      <c r="A12" s="85" t="s">
        <v>343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 x14ac:dyDescent="0.25">
      <c r="A13" s="87" t="s">
        <v>344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zoomScaleNormal="100" workbookViewId="0">
      <selection activeCell="G20" sqref="G20"/>
    </sheetView>
  </sheetViews>
  <sheetFormatPr defaultRowHeight="15" x14ac:dyDescent="0.2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 x14ac:dyDescent="0.25">
      <c r="A1" s="89"/>
      <c r="C1" s="106" t="s">
        <v>345</v>
      </c>
    </row>
    <row r="2" spans="1:3" ht="24" x14ac:dyDescent="0.25">
      <c r="A2" s="89"/>
      <c r="C2" s="107" t="s">
        <v>500</v>
      </c>
    </row>
    <row r="3" spans="1:3" ht="15.75" x14ac:dyDescent="0.25">
      <c r="A3" s="90"/>
      <c r="B3" s="89"/>
    </row>
    <row r="4" spans="1:3" ht="18.75" x14ac:dyDescent="0.25">
      <c r="A4" s="477" t="s">
        <v>346</v>
      </c>
      <c r="B4" s="477"/>
      <c r="C4" s="477"/>
    </row>
    <row r="5" spans="1:3" ht="18.75" x14ac:dyDescent="0.25">
      <c r="A5" s="477" t="s">
        <v>515</v>
      </c>
      <c r="B5" s="477"/>
      <c r="C5" s="477"/>
    </row>
    <row r="6" spans="1:3" ht="18.75" x14ac:dyDescent="0.25">
      <c r="A6" s="477" t="s">
        <v>516</v>
      </c>
      <c r="B6" s="477"/>
      <c r="C6" s="477"/>
    </row>
    <row r="7" spans="1:3" ht="15.75" x14ac:dyDescent="0.25">
      <c r="A7" s="91"/>
      <c r="B7" s="91"/>
    </row>
    <row r="8" spans="1:3" ht="31.5" x14ac:dyDescent="0.25">
      <c r="A8" s="110" t="s">
        <v>347</v>
      </c>
      <c r="B8" s="110" t="s">
        <v>310</v>
      </c>
      <c r="C8" s="110" t="s">
        <v>348</v>
      </c>
    </row>
    <row r="9" spans="1:3" ht="15.75" x14ac:dyDescent="0.25">
      <c r="A9" s="476" t="s">
        <v>349</v>
      </c>
      <c r="B9" s="110">
        <v>1</v>
      </c>
      <c r="C9" s="92" t="s">
        <v>364</v>
      </c>
    </row>
    <row r="10" spans="1:3" ht="15.75" x14ac:dyDescent="0.25">
      <c r="A10" s="476"/>
      <c r="B10" s="110">
        <v>2</v>
      </c>
      <c r="C10" s="93" t="s">
        <v>365</v>
      </c>
    </row>
    <row r="11" spans="1:3" ht="15.75" x14ac:dyDescent="0.25">
      <c r="A11" s="476"/>
      <c r="B11" s="110">
        <v>3</v>
      </c>
      <c r="C11" s="93" t="s">
        <v>366</v>
      </c>
    </row>
    <row r="12" spans="1:3" ht="15.75" x14ac:dyDescent="0.25">
      <c r="A12" s="476"/>
      <c r="B12" s="110">
        <v>4</v>
      </c>
      <c r="C12" s="93" t="s">
        <v>367</v>
      </c>
    </row>
    <row r="13" spans="1:3" ht="15.75" x14ac:dyDescent="0.25">
      <c r="A13" s="476"/>
      <c r="B13" s="110">
        <v>5</v>
      </c>
      <c r="C13" s="93" t="s">
        <v>368</v>
      </c>
    </row>
    <row r="14" spans="1:3" ht="15.75" x14ac:dyDescent="0.25">
      <c r="A14" s="476"/>
      <c r="B14" s="110">
        <v>6</v>
      </c>
      <c r="C14" s="93" t="s">
        <v>369</v>
      </c>
    </row>
    <row r="15" spans="1:3" ht="15.75" x14ac:dyDescent="0.25">
      <c r="A15" s="476"/>
      <c r="B15" s="110">
        <v>7</v>
      </c>
      <c r="C15" s="93" t="s">
        <v>370</v>
      </c>
    </row>
    <row r="16" spans="1:3" ht="15.75" x14ac:dyDescent="0.25">
      <c r="A16" s="476"/>
      <c r="B16" s="110">
        <v>8</v>
      </c>
      <c r="C16" s="93" t="s">
        <v>371</v>
      </c>
    </row>
    <row r="17" spans="1:3" ht="15.75" x14ac:dyDescent="0.25">
      <c r="A17" s="476"/>
      <c r="B17" s="110">
        <v>9</v>
      </c>
      <c r="C17" s="93" t="s">
        <v>372</v>
      </c>
    </row>
    <row r="18" spans="1:3" ht="15.75" x14ac:dyDescent="0.25">
      <c r="A18" s="476"/>
      <c r="B18" s="110">
        <v>10</v>
      </c>
      <c r="C18" s="93" t="s">
        <v>373</v>
      </c>
    </row>
    <row r="19" spans="1:3" ht="15.75" x14ac:dyDescent="0.25">
      <c r="A19" s="476"/>
      <c r="B19" s="110">
        <v>11</v>
      </c>
      <c r="C19" s="93" t="s">
        <v>374</v>
      </c>
    </row>
    <row r="20" spans="1:3" ht="18.75" x14ac:dyDescent="0.25">
      <c r="A20" s="476"/>
      <c r="B20" s="110">
        <v>12</v>
      </c>
      <c r="C20" s="93" t="s">
        <v>375</v>
      </c>
    </row>
    <row r="21" spans="1:3" ht="15.75" x14ac:dyDescent="0.25">
      <c r="A21" s="476"/>
      <c r="B21" s="110">
        <v>13</v>
      </c>
      <c r="C21" s="93" t="s">
        <v>376</v>
      </c>
    </row>
    <row r="22" spans="1:3" ht="15.75" x14ac:dyDescent="0.25">
      <c r="A22" s="476"/>
      <c r="B22" s="110">
        <v>14</v>
      </c>
      <c r="C22" s="93" t="s">
        <v>377</v>
      </c>
    </row>
    <row r="23" spans="1:3" ht="15.75" x14ac:dyDescent="0.25">
      <c r="A23" s="476"/>
      <c r="B23" s="110">
        <v>15</v>
      </c>
      <c r="C23" s="93" t="s">
        <v>517</v>
      </c>
    </row>
    <row r="24" spans="1:3" ht="15.75" x14ac:dyDescent="0.25">
      <c r="A24" s="476"/>
      <c r="B24" s="110">
        <v>16</v>
      </c>
      <c r="C24" s="93" t="s">
        <v>518</v>
      </c>
    </row>
    <row r="25" spans="1:3" ht="15.75" x14ac:dyDescent="0.25">
      <c r="A25" s="476" t="s">
        <v>350</v>
      </c>
      <c r="B25" s="110">
        <v>1</v>
      </c>
      <c r="C25" s="93" t="s">
        <v>366</v>
      </c>
    </row>
    <row r="26" spans="1:3" ht="15.75" x14ac:dyDescent="0.25">
      <c r="A26" s="476"/>
      <c r="B26" s="110">
        <v>2</v>
      </c>
      <c r="C26" s="93" t="s">
        <v>378</v>
      </c>
    </row>
    <row r="27" spans="1:3" ht="18.75" x14ac:dyDescent="0.25">
      <c r="A27" s="476"/>
      <c r="B27" s="110">
        <v>3</v>
      </c>
      <c r="C27" s="93" t="s">
        <v>379</v>
      </c>
    </row>
    <row r="28" spans="1:3" ht="15.75" x14ac:dyDescent="0.25">
      <c r="A28" s="476"/>
      <c r="B28" s="110">
        <v>4</v>
      </c>
      <c r="C28" s="93" t="s">
        <v>380</v>
      </c>
    </row>
    <row r="29" spans="1:3" ht="18.75" x14ac:dyDescent="0.25">
      <c r="A29" s="476"/>
      <c r="B29" s="110">
        <v>5</v>
      </c>
      <c r="C29" s="93" t="s">
        <v>381</v>
      </c>
    </row>
    <row r="30" spans="1:3" ht="18.75" x14ac:dyDescent="0.25">
      <c r="A30" s="476"/>
      <c r="B30" s="110">
        <v>6</v>
      </c>
      <c r="C30" s="93" t="s">
        <v>382</v>
      </c>
    </row>
    <row r="31" spans="1:3" ht="15.75" x14ac:dyDescent="0.25">
      <c r="A31" s="476"/>
      <c r="B31" s="110">
        <v>7</v>
      </c>
      <c r="C31" s="93" t="s">
        <v>383</v>
      </c>
    </row>
    <row r="32" spans="1:3" ht="15.75" x14ac:dyDescent="0.25">
      <c r="A32" s="476"/>
      <c r="B32" s="110">
        <v>8</v>
      </c>
      <c r="C32" s="93" t="s">
        <v>384</v>
      </c>
    </row>
    <row r="33" spans="1:3" ht="18.75" x14ac:dyDescent="0.25">
      <c r="A33" s="476"/>
      <c r="B33" s="110">
        <v>9</v>
      </c>
      <c r="C33" s="93" t="s">
        <v>385</v>
      </c>
    </row>
    <row r="34" spans="1:3" ht="15.75" x14ac:dyDescent="0.25">
      <c r="A34" s="476"/>
      <c r="B34" s="110">
        <v>10</v>
      </c>
      <c r="C34" s="93" t="s">
        <v>386</v>
      </c>
    </row>
    <row r="35" spans="1:3" ht="15.75" x14ac:dyDescent="0.25">
      <c r="A35" s="476"/>
      <c r="B35" s="110">
        <v>11</v>
      </c>
      <c r="C35" s="386" t="s">
        <v>519</v>
      </c>
    </row>
    <row r="36" spans="1:3" ht="15.75" x14ac:dyDescent="0.25">
      <c r="A36" s="476" t="s">
        <v>351</v>
      </c>
      <c r="B36" s="110">
        <v>1</v>
      </c>
      <c r="C36" s="94" t="s">
        <v>366</v>
      </c>
    </row>
    <row r="37" spans="1:3" ht="15.75" x14ac:dyDescent="0.25">
      <c r="A37" s="476"/>
      <c r="B37" s="110">
        <v>2</v>
      </c>
      <c r="C37" s="94" t="s">
        <v>389</v>
      </c>
    </row>
    <row r="38" spans="1:3" ht="15.75" x14ac:dyDescent="0.25">
      <c r="A38" s="476"/>
      <c r="B38" s="110">
        <v>3</v>
      </c>
      <c r="C38" s="94" t="s">
        <v>390</v>
      </c>
    </row>
    <row r="39" spans="1:3" ht="15.75" x14ac:dyDescent="0.25">
      <c r="A39" s="476"/>
      <c r="B39" s="110">
        <v>4</v>
      </c>
      <c r="C39" s="94" t="s">
        <v>520</v>
      </c>
    </row>
    <row r="40" spans="1:3" ht="15.75" x14ac:dyDescent="0.25">
      <c r="A40" s="476"/>
      <c r="B40" s="110">
        <v>5</v>
      </c>
      <c r="C40" s="94" t="s">
        <v>391</v>
      </c>
    </row>
    <row r="41" spans="1:3" ht="18.75" x14ac:dyDescent="0.25">
      <c r="A41" s="476"/>
      <c r="B41" s="110">
        <v>6</v>
      </c>
      <c r="C41" s="94" t="s">
        <v>392</v>
      </c>
    </row>
    <row r="42" spans="1:3" ht="15.75" x14ac:dyDescent="0.25">
      <c r="A42" s="476"/>
      <c r="B42" s="110">
        <v>7</v>
      </c>
      <c r="C42" s="94" t="s">
        <v>393</v>
      </c>
    </row>
    <row r="43" spans="1:3" ht="31.5" x14ac:dyDescent="0.25">
      <c r="A43" s="476"/>
      <c r="B43" s="110">
        <v>8</v>
      </c>
      <c r="C43" s="94" t="s">
        <v>521</v>
      </c>
    </row>
    <row r="44" spans="1:3" ht="15.75" x14ac:dyDescent="0.25">
      <c r="A44" s="476"/>
      <c r="B44" s="110">
        <v>9</v>
      </c>
      <c r="C44" s="94" t="s">
        <v>519</v>
      </c>
    </row>
    <row r="45" spans="1:3" ht="15.75" x14ac:dyDescent="0.25">
      <c r="A45" s="476" t="s">
        <v>352</v>
      </c>
      <c r="B45" s="110">
        <v>1</v>
      </c>
      <c r="C45" s="93" t="s">
        <v>522</v>
      </c>
    </row>
    <row r="46" spans="1:3" ht="18.75" x14ac:dyDescent="0.25">
      <c r="A46" s="476"/>
      <c r="B46" s="110">
        <v>2</v>
      </c>
      <c r="C46" s="93" t="s">
        <v>394</v>
      </c>
    </row>
    <row r="47" spans="1:3" ht="15.75" x14ac:dyDescent="0.25">
      <c r="A47" s="476"/>
      <c r="B47" s="110">
        <v>3</v>
      </c>
      <c r="C47" s="93" t="s">
        <v>523</v>
      </c>
    </row>
    <row r="48" spans="1:3" ht="15.75" x14ac:dyDescent="0.25">
      <c r="A48" s="476"/>
      <c r="B48" s="110">
        <v>4</v>
      </c>
      <c r="C48" s="93" t="s">
        <v>396</v>
      </c>
    </row>
    <row r="49" spans="1:3" ht="15.75" x14ac:dyDescent="0.25">
      <c r="A49" s="476"/>
      <c r="B49" s="110">
        <v>5</v>
      </c>
      <c r="C49" s="93" t="s">
        <v>397</v>
      </c>
    </row>
    <row r="50" spans="1:3" ht="18.75" x14ac:dyDescent="0.25">
      <c r="A50" s="476"/>
      <c r="B50" s="110">
        <v>6</v>
      </c>
      <c r="C50" s="93" t="s">
        <v>398</v>
      </c>
    </row>
    <row r="51" spans="1:3" ht="15.75" x14ac:dyDescent="0.25">
      <c r="A51" s="476"/>
      <c r="B51" s="110">
        <v>7</v>
      </c>
      <c r="C51" s="93" t="s">
        <v>399</v>
      </c>
    </row>
    <row r="52" spans="1:3" ht="18.75" x14ac:dyDescent="0.25">
      <c r="A52" s="476"/>
      <c r="B52" s="110">
        <v>8</v>
      </c>
      <c r="C52" s="93" t="s">
        <v>400</v>
      </c>
    </row>
    <row r="53" spans="1:3" ht="15.75" x14ac:dyDescent="0.25">
      <c r="A53" s="476"/>
      <c r="B53" s="110">
        <v>9</v>
      </c>
      <c r="C53" s="93" t="s">
        <v>380</v>
      </c>
    </row>
    <row r="54" spans="1:3" ht="18.75" x14ac:dyDescent="0.25">
      <c r="A54" s="476"/>
      <c r="B54" s="110">
        <v>10</v>
      </c>
      <c r="C54" s="93" t="s">
        <v>401</v>
      </c>
    </row>
    <row r="55" spans="1:3" ht="15.75" x14ac:dyDescent="0.25">
      <c r="A55" s="476"/>
      <c r="B55" s="110">
        <v>11</v>
      </c>
      <c r="C55" s="387" t="s">
        <v>524</v>
      </c>
    </row>
    <row r="56" spans="1:3" ht="15.75" x14ac:dyDescent="0.25">
      <c r="A56" s="476"/>
      <c r="B56" s="110">
        <v>12</v>
      </c>
      <c r="C56" s="387" t="s">
        <v>525</v>
      </c>
    </row>
    <row r="57" spans="1:3" ht="31.5" x14ac:dyDescent="0.25">
      <c r="A57" s="476"/>
      <c r="B57" s="110">
        <v>13</v>
      </c>
      <c r="C57" s="387" t="s">
        <v>526</v>
      </c>
    </row>
    <row r="58" spans="1:3" ht="15.75" x14ac:dyDescent="0.25">
      <c r="A58" s="476"/>
      <c r="B58" s="110">
        <v>14</v>
      </c>
      <c r="C58" s="387" t="s">
        <v>519</v>
      </c>
    </row>
    <row r="59" spans="1:3" ht="15.75" x14ac:dyDescent="0.25">
      <c r="A59" s="476" t="s">
        <v>353</v>
      </c>
      <c r="B59" s="110">
        <v>1</v>
      </c>
      <c r="C59" s="94" t="s">
        <v>402</v>
      </c>
    </row>
    <row r="60" spans="1:3" ht="15.75" x14ac:dyDescent="0.25">
      <c r="A60" s="476"/>
      <c r="B60" s="110">
        <v>2</v>
      </c>
      <c r="C60" s="94" t="s">
        <v>403</v>
      </c>
    </row>
    <row r="61" spans="1:3" ht="15.75" x14ac:dyDescent="0.25">
      <c r="A61" s="476"/>
      <c r="B61" s="110">
        <v>3</v>
      </c>
      <c r="C61" s="94" t="s">
        <v>380</v>
      </c>
    </row>
    <row r="62" spans="1:3" ht="18.75" x14ac:dyDescent="0.25">
      <c r="A62" s="476"/>
      <c r="B62" s="110">
        <v>4</v>
      </c>
      <c r="C62" s="94" t="s">
        <v>388</v>
      </c>
    </row>
    <row r="63" spans="1:3" ht="15.75" x14ac:dyDescent="0.25">
      <c r="A63" s="476"/>
      <c r="B63" s="110">
        <v>5</v>
      </c>
      <c r="C63" s="94" t="s">
        <v>527</v>
      </c>
    </row>
    <row r="64" spans="1:3" ht="18.75" x14ac:dyDescent="0.25">
      <c r="A64" s="476" t="s">
        <v>354</v>
      </c>
      <c r="B64" s="110">
        <v>1</v>
      </c>
      <c r="C64" s="94" t="s">
        <v>404</v>
      </c>
    </row>
    <row r="65" spans="1:3" ht="15.75" x14ac:dyDescent="0.25">
      <c r="A65" s="476"/>
      <c r="B65" s="110">
        <v>2</v>
      </c>
      <c r="C65" s="94" t="s">
        <v>405</v>
      </c>
    </row>
    <row r="66" spans="1:3" ht="31.5" x14ac:dyDescent="0.25">
      <c r="A66" s="476"/>
      <c r="B66" s="110">
        <v>3</v>
      </c>
      <c r="C66" s="94" t="s">
        <v>406</v>
      </c>
    </row>
    <row r="67" spans="1:3" ht="15.75" x14ac:dyDescent="0.25">
      <c r="A67" s="476"/>
      <c r="B67" s="110">
        <v>4</v>
      </c>
      <c r="C67" s="94" t="s">
        <v>528</v>
      </c>
    </row>
    <row r="68" spans="1:3" ht="15.75" x14ac:dyDescent="0.25">
      <c r="A68" s="476"/>
      <c r="B68" s="110">
        <v>5</v>
      </c>
      <c r="C68" s="94" t="s">
        <v>407</v>
      </c>
    </row>
    <row r="69" spans="1:3" ht="15.75" x14ac:dyDescent="0.25">
      <c r="A69" s="476"/>
      <c r="B69" s="110">
        <v>6</v>
      </c>
      <c r="C69" s="94" t="s">
        <v>387</v>
      </c>
    </row>
    <row r="70" spans="1:3" ht="15.75" x14ac:dyDescent="0.25">
      <c r="A70" s="476"/>
      <c r="B70" s="110">
        <v>7</v>
      </c>
      <c r="C70" s="94" t="s">
        <v>408</v>
      </c>
    </row>
    <row r="71" spans="1:3" ht="15.75" x14ac:dyDescent="0.25">
      <c r="A71" s="476" t="s">
        <v>355</v>
      </c>
      <c r="B71" s="110">
        <v>1</v>
      </c>
      <c r="C71" s="94" t="s">
        <v>395</v>
      </c>
    </row>
    <row r="72" spans="1:3" ht="15.75" x14ac:dyDescent="0.25">
      <c r="A72" s="476"/>
      <c r="B72" s="110">
        <v>2</v>
      </c>
      <c r="C72" s="94" t="s">
        <v>409</v>
      </c>
    </row>
    <row r="73" spans="1:3" ht="15.75" x14ac:dyDescent="0.25">
      <c r="A73" s="476"/>
      <c r="B73" s="110">
        <v>3</v>
      </c>
      <c r="C73" s="94" t="s">
        <v>410</v>
      </c>
    </row>
    <row r="74" spans="1:3" ht="15.75" x14ac:dyDescent="0.25">
      <c r="A74" s="476"/>
      <c r="B74" s="110">
        <v>4</v>
      </c>
      <c r="C74" s="94" t="s">
        <v>411</v>
      </c>
    </row>
    <row r="75" spans="1:3" ht="18.75" x14ac:dyDescent="0.25">
      <c r="A75" s="476"/>
      <c r="B75" s="110">
        <v>5</v>
      </c>
      <c r="C75" s="94" t="s">
        <v>412</v>
      </c>
    </row>
    <row r="76" spans="1:3" ht="15.75" x14ac:dyDescent="0.25">
      <c r="A76" s="476"/>
      <c r="B76" s="110">
        <v>6</v>
      </c>
      <c r="C76" s="94" t="s">
        <v>413</v>
      </c>
    </row>
    <row r="77" spans="1:3" ht="15.75" x14ac:dyDescent="0.25">
      <c r="A77" s="476"/>
      <c r="B77" s="388">
        <v>7</v>
      </c>
      <c r="C77" s="389" t="s">
        <v>519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2020-2022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2020-2022'!Область_печати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2020-12-28T00:38:15Z</dcterms:modified>
</cp:coreProperties>
</file>