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\\Svr4-1c\Отдел финансов\Бюджет 2022\Изменения в бюджет\ГО Эгвекинот\№ 4\"/>
    </mc:Choice>
  </mc:AlternateContent>
  <bookViews>
    <workbookView xWindow="15765" yWindow="0" windowWidth="13080" windowHeight="12780" activeTab="1"/>
  </bookViews>
  <sheets>
    <sheet name="Управление ФЭИ" sheetId="2" r:id="rId1"/>
    <sheet name="ДОХОДЫ РАСХОДЫ ИСТОЧНИКИ" sheetId="37" r:id="rId2"/>
    <sheet name="РАСХОДЫ ПРОГРАММЫ" sheetId="6" r:id="rId3"/>
    <sheet name="Прогноз СЭР 2022-2024" sheetId="38" r:id="rId4"/>
    <sheet name="№ 1 производ. продукции" sheetId="39" r:id="rId5"/>
    <sheet name="№ 2 Хлеб и Молочка" sheetId="40" r:id="rId6"/>
    <sheet name="№ 3 Олени" sheetId="41" r:id="rId7"/>
    <sheet name="№ 4 строительство" sheetId="42" r:id="rId8"/>
  </sheets>
  <definedNames>
    <definedName name="_xlnm._FilterDatabase" localSheetId="2" hidden="1">'РАСХОДЫ ПРОГРАММЫ'!$A$3:$B$28</definedName>
    <definedName name="_xlnm.Print_Area" localSheetId="4">'№ 1 производ. продукции'!$A$1:$H$23</definedName>
    <definedName name="_xlnm.Print_Area" localSheetId="7">'№ 4 строительство'!$A$1:$F$92</definedName>
    <definedName name="_xlnm.Print_Area" localSheetId="1">'ДОХОДЫ РАСХОДЫ ИСТОЧНИКИ'!$C$1:$F$156</definedName>
    <definedName name="_xlnm.Print_Area" localSheetId="3">'Прогноз СЭР 2022-2024'!$A$1:$I$116</definedName>
  </definedNames>
  <calcPr calcId="162913"/>
</workbook>
</file>

<file path=xl/calcChain.xml><?xml version="1.0" encoding="utf-8"?>
<calcChain xmlns="http://schemas.openxmlformats.org/spreadsheetml/2006/main">
  <c r="F154" i="37" l="1"/>
  <c r="F153" i="37"/>
  <c r="D86" i="37" l="1"/>
  <c r="D81" i="37" s="1"/>
  <c r="E86" i="37"/>
  <c r="E81" i="37" s="1"/>
  <c r="F86" i="37"/>
  <c r="F81" i="37" s="1"/>
  <c r="D35" i="37"/>
  <c r="E35" i="37"/>
  <c r="F35" i="37"/>
  <c r="K13" i="41" l="1"/>
  <c r="J13" i="41"/>
  <c r="I13" i="41"/>
  <c r="H13" i="41"/>
  <c r="G13" i="41"/>
  <c r="F13" i="41"/>
  <c r="E13" i="41"/>
  <c r="D13" i="41"/>
  <c r="C13" i="41"/>
  <c r="B13" i="41"/>
  <c r="E11" i="40"/>
  <c r="D11" i="40"/>
  <c r="C11" i="40"/>
  <c r="H14" i="39"/>
  <c r="G14" i="39"/>
  <c r="F14" i="39"/>
  <c r="E14" i="39"/>
  <c r="D14" i="39"/>
  <c r="H10" i="39"/>
  <c r="G10" i="39"/>
  <c r="F10" i="39"/>
  <c r="E10" i="39"/>
  <c r="D10" i="39"/>
  <c r="G115" i="38"/>
  <c r="F115" i="38"/>
  <c r="E115" i="38"/>
  <c r="I106" i="38"/>
  <c r="H106" i="38"/>
  <c r="G106" i="38"/>
  <c r="F106" i="38"/>
  <c r="E106" i="38"/>
  <c r="D106" i="38"/>
  <c r="C106" i="38"/>
  <c r="I103" i="38"/>
  <c r="H103" i="38"/>
  <c r="G103" i="38"/>
  <c r="F103" i="38"/>
  <c r="E103" i="38"/>
  <c r="D103" i="38"/>
  <c r="C103" i="38"/>
  <c r="I102" i="38"/>
  <c r="H102" i="38"/>
  <c r="G102" i="38"/>
  <c r="F102" i="38"/>
  <c r="E102" i="38"/>
  <c r="D102" i="38"/>
  <c r="C102" i="38"/>
  <c r="I101" i="38"/>
  <c r="H101" i="38"/>
  <c r="G101" i="38"/>
  <c r="F101" i="38"/>
  <c r="E101" i="38"/>
  <c r="D101" i="38"/>
  <c r="C101" i="38"/>
  <c r="I100" i="38"/>
  <c r="H100" i="38"/>
  <c r="G100" i="38"/>
  <c r="F100" i="38"/>
  <c r="E100" i="38"/>
  <c r="C100" i="38"/>
  <c r="I99" i="38"/>
  <c r="H99" i="38"/>
  <c r="G99" i="38"/>
  <c r="F99" i="38"/>
  <c r="E99" i="38"/>
  <c r="D99" i="38"/>
  <c r="C99" i="38"/>
  <c r="I98" i="38"/>
  <c r="H98" i="38"/>
  <c r="G98" i="38"/>
  <c r="F98" i="38"/>
  <c r="E98" i="38"/>
  <c r="D98" i="38"/>
  <c r="C98" i="38"/>
  <c r="I97" i="38"/>
  <c r="H97" i="38"/>
  <c r="G97" i="38"/>
  <c r="F97" i="38"/>
  <c r="E97" i="38"/>
  <c r="D97" i="38"/>
  <c r="C97" i="38"/>
  <c r="I94" i="38"/>
  <c r="H94" i="38"/>
  <c r="G94" i="38"/>
  <c r="F94" i="38"/>
  <c r="E94" i="38"/>
  <c r="D94" i="38"/>
  <c r="C94" i="38"/>
  <c r="I91" i="38"/>
  <c r="H91" i="38"/>
  <c r="G91" i="38"/>
  <c r="F91" i="38"/>
  <c r="E91" i="38"/>
  <c r="D91" i="38"/>
  <c r="C91" i="38"/>
  <c r="I84" i="38"/>
  <c r="I81" i="38" s="1"/>
  <c r="H84" i="38"/>
  <c r="H81" i="38" s="1"/>
  <c r="G84" i="38"/>
  <c r="G81" i="38" s="1"/>
  <c r="F84" i="38"/>
  <c r="F81" i="38" s="1"/>
  <c r="E84" i="38"/>
  <c r="E81" i="38" s="1"/>
  <c r="D84" i="38"/>
  <c r="D81" i="38" s="1"/>
  <c r="C84" i="38"/>
  <c r="C81" i="38" s="1"/>
  <c r="I50" i="38"/>
  <c r="H50" i="38"/>
  <c r="G50" i="38"/>
  <c r="F50" i="38"/>
  <c r="E50" i="38"/>
  <c r="I42" i="38"/>
  <c r="H42" i="38"/>
  <c r="G42" i="38"/>
  <c r="H43" i="38" s="1"/>
  <c r="F42" i="38"/>
  <c r="E42" i="38"/>
  <c r="D42" i="38"/>
  <c r="C42" i="38"/>
  <c r="D43" i="38" s="1"/>
  <c r="I36" i="38"/>
  <c r="H36" i="38"/>
  <c r="G36" i="38"/>
  <c r="D36" i="38"/>
  <c r="C36" i="38"/>
  <c r="I35" i="38"/>
  <c r="H35" i="38"/>
  <c r="G35" i="38"/>
  <c r="F35" i="38"/>
  <c r="I33" i="38"/>
  <c r="H33" i="38"/>
  <c r="G33" i="38"/>
  <c r="F33" i="38"/>
  <c r="E33" i="38"/>
  <c r="D33" i="38"/>
  <c r="C33" i="38"/>
  <c r="I31" i="38"/>
  <c r="H31" i="38"/>
  <c r="G31" i="38"/>
  <c r="F31" i="38"/>
  <c r="E31" i="38"/>
  <c r="D31" i="38"/>
  <c r="C31" i="38"/>
  <c r="I27" i="38"/>
  <c r="H27" i="38"/>
  <c r="G27" i="38"/>
  <c r="H28" i="38" s="1"/>
  <c r="F27" i="38"/>
  <c r="G28" i="38" s="1"/>
  <c r="E27" i="38"/>
  <c r="D27" i="38"/>
  <c r="C27" i="38"/>
  <c r="D28" i="38" s="1"/>
  <c r="I19" i="38"/>
  <c r="G18" i="38"/>
  <c r="F18" i="38"/>
  <c r="E18" i="38"/>
  <c r="D18" i="38"/>
  <c r="D19" i="38" s="1"/>
  <c r="C18" i="38"/>
  <c r="C19" i="38" s="1"/>
  <c r="I14" i="38"/>
  <c r="H14" i="38"/>
  <c r="G14" i="38"/>
  <c r="F14" i="38"/>
  <c r="E14" i="38"/>
  <c r="F15" i="38" s="1"/>
  <c r="D14" i="38"/>
  <c r="C14" i="38"/>
  <c r="C15" i="38" s="1"/>
  <c r="I11" i="38"/>
  <c r="H11" i="38"/>
  <c r="G11" i="38"/>
  <c r="F11" i="38"/>
  <c r="E11" i="38"/>
  <c r="D11" i="38"/>
  <c r="C11" i="38"/>
  <c r="I10" i="38"/>
  <c r="H10" i="38"/>
  <c r="G10" i="38"/>
  <c r="F10" i="38"/>
  <c r="E10" i="38"/>
  <c r="D10" i="38"/>
  <c r="C10" i="38"/>
  <c r="I8" i="38"/>
  <c r="H8" i="38"/>
  <c r="G8" i="38"/>
  <c r="F8" i="38"/>
  <c r="E8" i="38"/>
  <c r="D8" i="38"/>
  <c r="C8" i="38"/>
  <c r="E19" i="38" l="1"/>
  <c r="G15" i="38"/>
  <c r="F43" i="38"/>
  <c r="C28" i="38"/>
  <c r="F19" i="38"/>
  <c r="G19" i="38"/>
  <c r="E28" i="38"/>
  <c r="I28" i="38"/>
  <c r="I43" i="38"/>
  <c r="D15" i="38"/>
  <c r="I15" i="38"/>
  <c r="G43" i="38"/>
  <c r="C43" i="38"/>
  <c r="E15" i="38"/>
  <c r="H15" i="38"/>
  <c r="H19" i="38"/>
  <c r="F28" i="38"/>
  <c r="E43" i="38"/>
  <c r="D49" i="6"/>
  <c r="D46" i="6"/>
  <c r="D44" i="6"/>
  <c r="D41" i="6"/>
  <c r="D38" i="6"/>
  <c r="D34" i="6"/>
  <c r="D31" i="6"/>
  <c r="D28" i="6"/>
  <c r="D24" i="6"/>
  <c r="D19" i="6"/>
  <c r="D16" i="6"/>
  <c r="D13" i="6"/>
  <c r="D10" i="6"/>
  <c r="D7" i="6"/>
  <c r="D33" i="6" l="1"/>
  <c r="D5" i="6"/>
  <c r="E21" i="37"/>
  <c r="F21" i="37"/>
  <c r="D21" i="37"/>
  <c r="F12" i="37"/>
  <c r="E12" i="37"/>
  <c r="D12" i="37"/>
  <c r="D4" i="6" l="1"/>
  <c r="E154" i="37" l="1"/>
  <c r="E152" i="37" s="1"/>
  <c r="E149" i="37"/>
  <c r="E141" i="37"/>
  <c r="E138" i="37"/>
  <c r="E133" i="37"/>
  <c r="E131" i="37"/>
  <c r="E129" i="37"/>
  <c r="E123" i="37"/>
  <c r="E118" i="37"/>
  <c r="E114" i="37"/>
  <c r="E108" i="37"/>
  <c r="E99" i="37"/>
  <c r="E72" i="37"/>
  <c r="E67" i="37" s="1"/>
  <c r="E25" i="37"/>
  <c r="E5" i="37"/>
  <c r="E20" i="37" l="1"/>
  <c r="E19" i="37" s="1"/>
  <c r="E143" i="37"/>
  <c r="E4" i="37"/>
  <c r="E148" i="37"/>
  <c r="E94" i="37" l="1"/>
  <c r="C31" i="6" l="1"/>
  <c r="C10" i="6"/>
  <c r="C28" i="6"/>
  <c r="F108" i="37" l="1"/>
  <c r="F5" i="37" l="1"/>
  <c r="F152" i="37"/>
  <c r="D152" i="37"/>
  <c r="F149" i="37"/>
  <c r="D149" i="37"/>
  <c r="F141" i="37"/>
  <c r="D141" i="37"/>
  <c r="F138" i="37"/>
  <c r="D138" i="37"/>
  <c r="F133" i="37"/>
  <c r="D133" i="37"/>
  <c r="F131" i="37"/>
  <c r="D131" i="37"/>
  <c r="D129" i="37" s="1"/>
  <c r="F129" i="37"/>
  <c r="F123" i="37"/>
  <c r="D123" i="37"/>
  <c r="F118" i="37"/>
  <c r="D118" i="37"/>
  <c r="F114" i="37"/>
  <c r="D114" i="37"/>
  <c r="D108" i="37"/>
  <c r="F99" i="37"/>
  <c r="D99" i="37"/>
  <c r="F72" i="37"/>
  <c r="F67" i="37" s="1"/>
  <c r="D72" i="37"/>
  <c r="D67" i="37" s="1"/>
  <c r="F25" i="37"/>
  <c r="D25" i="37"/>
  <c r="D5" i="37"/>
  <c r="D148" i="37" l="1"/>
  <c r="D4" i="37"/>
  <c r="D143" i="37"/>
  <c r="F148" i="37"/>
  <c r="F143" i="37"/>
  <c r="D20" i="37"/>
  <c r="D19" i="37" s="1"/>
  <c r="F4" i="37"/>
  <c r="F20" i="37"/>
  <c r="F19" i="37" s="1"/>
  <c r="D94" i="37" l="1"/>
  <c r="F94" i="37"/>
  <c r="C46" i="6" l="1"/>
  <c r="C41" i="6" l="1"/>
  <c r="C24" i="6"/>
  <c r="C38" i="6"/>
  <c r="C7" i="6" l="1"/>
  <c r="C49" i="6"/>
  <c r="C44" i="6"/>
  <c r="C34" i="6"/>
  <c r="C19" i="6"/>
  <c r="C16" i="6"/>
  <c r="C13" i="6"/>
  <c r="C33" i="6" l="1"/>
  <c r="C5" i="6"/>
  <c r="C4" i="6" l="1"/>
</calcChain>
</file>

<file path=xl/sharedStrings.xml><?xml version="1.0" encoding="utf-8"?>
<sst xmlns="http://schemas.openxmlformats.org/spreadsheetml/2006/main" count="924" uniqueCount="630">
  <si>
    <t>(тыс.рублей)</t>
  </si>
  <si>
    <t>Код бюджетной классификации Российской Федерации</t>
  </si>
  <si>
    <t xml:space="preserve">Наименование доходов </t>
  </si>
  <si>
    <t>000 1 00 00000 00 0000 000</t>
  </si>
  <si>
    <t>НАЛОГОВЫЕ И НЕНАЛОГОВЫЕ ДОХОДЫ</t>
  </si>
  <si>
    <t>НАЛОГОВЫЕ ДОХОДЫ</t>
  </si>
  <si>
    <t>000 1 01 00000 00 0000 000</t>
  </si>
  <si>
    <t>000 1 03 00000 00 0000 000</t>
  </si>
  <si>
    <t>000 1 05 00000 00 0000 000</t>
  </si>
  <si>
    <t>000 1 06 00000 00 0000 000</t>
  </si>
  <si>
    <t>000 1 08 00000 00 0000 000</t>
  </si>
  <si>
    <t>НЕНАЛОГОВЫЕ ДОХОДЫ</t>
  </si>
  <si>
    <t>000 1 11 00000 00 0000 000</t>
  </si>
  <si>
    <t>000 1 12 00000 00 0000 000</t>
  </si>
  <si>
    <t>000 1 13 00000 00 0000 000</t>
  </si>
  <si>
    <t>000 1 16 00000 00 0000 000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</si>
  <si>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</si>
  <si>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</si>
  <si>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</si>
  <si>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</si>
  <si>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0002 02 01000 00 0000 151</t>
  </si>
  <si>
    <t>Дотации бюджетам субъектов Российской Федерации и муниципальных образований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</si>
  <si>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</si>
  <si>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</si>
  <si>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000 2 02 02999 00 0000 151</t>
  </si>
  <si>
    <t>Прочие субсидии</t>
  </si>
  <si>
    <t>В том числе:</t>
  </si>
  <si>
    <t>На реализацию мероприятий по проведению оздоровительной кампании детей, находящихся в трудной жизненной ситуации</t>
  </si>
  <si>
    <t>На финансовую поддержку субъектов предпринимательской деятельности, осуществляющих деятельность в сельской местности</t>
  </si>
  <si>
    <t xml:space="preserve">000 2 02 03000 00 0000 151 </t>
  </si>
  <si>
    <t>000 2 02 03003 00 0000 151</t>
  </si>
  <si>
    <t>000 2 02 03007 00 0000 151</t>
  </si>
  <si>
    <t>Прочие субвенции</t>
  </si>
  <si>
    <t>000 2 02 03999 04 0000 151</t>
  </si>
  <si>
    <t>На осуществление учета граждан в связи с переселением</t>
  </si>
  <si>
    <t>На обеспечение деятельности комиссии по делам несовершеннолетних</t>
  </si>
  <si>
    <t>На обеспечение деятельности административных комиссий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</si>
  <si>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</si>
  <si>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000 2 19 00000 00 0000 000</t>
  </si>
  <si>
    <t>Всего доходов</t>
  </si>
  <si>
    <t>(тыс. рублей)</t>
  </si>
  <si>
    <t>Наименование</t>
  </si>
  <si>
    <t>ЦСР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</si>
  <si>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</si>
  <si>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</si>
  <si>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</si>
  <si>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</si>
  <si>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</si>
  <si>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городского округа, Администрации городского округа</t>
  </si>
  <si>
    <t>Глава городского округа</t>
  </si>
  <si>
    <t>Функционирование Правительства Российской Федерации, высших  исполнительных органов  государственной  власти субъектов Российской Федерации, местных администраций</t>
  </si>
  <si>
    <t>04</t>
  </si>
  <si>
    <t>Администрация городского округа</t>
  </si>
  <si>
    <t>Судебная система</t>
  </si>
  <si>
    <t>05</t>
  </si>
  <si>
    <t>Выполнение отдельных обязательств городского округа</t>
  </si>
  <si>
    <t>Иные непрограммные мероприятия</t>
  </si>
  <si>
    <t>Другие общегосударственные вопросы</t>
  </si>
  <si>
    <t>13</t>
  </si>
  <si>
    <t>Обеспечение функционирования отдельных органов местного самоуправления и учреждений городского округа</t>
  </si>
  <si>
    <t>Обеспечение функционирования отдельных органов местного самоуправления городского округа</t>
  </si>
  <si>
    <t>03</t>
  </si>
  <si>
    <t>80 2 00 51180</t>
  </si>
  <si>
    <t>Национальная безопасность и правоохранительная деятельность</t>
  </si>
  <si>
    <t>Органы юстиции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</si>
  <si>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</si>
  <si>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</si>
  <si>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</si>
  <si>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</si>
  <si>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</si>
  <si>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08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</si>
  <si>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</si>
  <si>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</si>
  <si>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</si>
  <si>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</si>
  <si>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</si>
  <si>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</si>
  <si>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</si>
  <si>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Подпрограмма «Поддержка жилищно-коммунального хозяйства»</t>
  </si>
  <si>
    <t>Подпрограмма «Субсидирование предприятий жилищно-коммунального хозяйства»</t>
  </si>
  <si>
    <t>Благоустройство</t>
  </si>
  <si>
    <t>Другие вопросы в области жилищно-коммунального хозяйства</t>
  </si>
  <si>
    <t>Социальная политика</t>
  </si>
  <si>
    <t>Социальное обеспечение населения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</si>
  <si>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</si>
  <si>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</si>
  <si>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</si>
  <si>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</si>
  <si>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Подпрограмма «Муниципальная поддержка малого и среднего предпринимательства»</t>
  </si>
  <si>
    <t>Подпрограмма «Финансовая поддержка производителей социально значимых видов хлеба»</t>
  </si>
  <si>
    <t>Подпрограмма «Финансовая поддержка производителей молочной продукции»</t>
  </si>
  <si>
    <t>Пенсионное обеспечение</t>
  </si>
  <si>
    <t>Пенсионное обеспечение муниципальных служащих</t>
  </si>
  <si>
    <t>Образование</t>
  </si>
  <si>
    <t>07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</si>
  <si>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</si>
  <si>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</si>
  <si>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</si>
  <si>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Культура, кинематография </t>
  </si>
  <si>
    <t>Культура</t>
  </si>
  <si>
    <t>Охрана семьи и детства</t>
  </si>
  <si>
    <t>Другие вопросы в области социальной политики</t>
  </si>
  <si>
    <t>Обеспечение функционирования отдельных учреждений городского округа</t>
  </si>
  <si>
    <t>Физическая культура и спорт</t>
  </si>
  <si>
    <t>Физическая культура</t>
  </si>
  <si>
    <t>Подпрограмма «Развитие физической культуры и спорта»</t>
  </si>
  <si>
    <t>Подпрограмма «Финансовое обеспечение муниципального задания на оказание муниципальных услуг (выполнение работ)»</t>
  </si>
  <si>
    <t>Массовый спорт</t>
  </si>
  <si>
    <t>Совет депутатов городского округа Эгвекинот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</si>
  <si>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</si>
  <si>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Совета депутатов городского округа Эгвекинот</t>
  </si>
  <si>
    <t>Избирательная комиссия городского округа Эгвекинот</t>
  </si>
  <si>
    <t>Обеспечение проведения выборов и референдумов</t>
  </si>
  <si>
    <t>Обеспечение функционирования Избирательной комиссии городского округа Эгвекинот</t>
  </si>
  <si>
    <t>Контрольно-счетная палата городского округа Эгвекинот</t>
  </si>
  <si>
    <t>Обеспечение функционирования Контрольно-счетной палаты городского округа Эгвекинот</t>
  </si>
  <si>
    <t>85 1 00 10110</t>
  </si>
  <si>
    <t>ВСЕГО</t>
  </si>
  <si>
    <t>МУНИЦИПАЛЬНЫЕ ПРОГРАММЫ</t>
  </si>
  <si>
    <t>Подпрограмма «Обеспечение государственных гарантий и развитие современной инфраструктуры образования, культуры и молодёжной политики»</t>
  </si>
  <si>
    <t>02 1</t>
  </si>
  <si>
    <t>02 П</t>
  </si>
  <si>
    <t>03 1</t>
  </si>
  <si>
    <t>04 1</t>
  </si>
  <si>
    <t>04 П</t>
  </si>
  <si>
    <t>05 1</t>
  </si>
  <si>
    <t>05 2</t>
  </si>
  <si>
    <t>06 1</t>
  </si>
  <si>
    <t>06 2</t>
  </si>
  <si>
    <t>06 3</t>
  </si>
  <si>
    <t>08 1</t>
  </si>
  <si>
    <t>08 2</t>
  </si>
  <si>
    <t>08 3</t>
  </si>
  <si>
    <t>НЕПРОГРАММНЫЕ НАПРАВЛЕНИЯ ДЕЯТЕЛЬНОСТИ</t>
  </si>
  <si>
    <t>80</t>
  </si>
  <si>
    <t>80 1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</si>
  <si>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</si>
  <si>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</si>
  <si>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</si>
  <si>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81</t>
  </si>
  <si>
    <t>81 1</t>
  </si>
  <si>
    <t>81 П</t>
  </si>
  <si>
    <t>82</t>
  </si>
  <si>
    <t>82 9</t>
  </si>
  <si>
    <t>82 Д</t>
  </si>
  <si>
    <t>83</t>
  </si>
  <si>
    <t>83 1</t>
  </si>
  <si>
    <t>84</t>
  </si>
  <si>
    <t>84 1</t>
  </si>
  <si>
    <t>85</t>
  </si>
  <si>
    <t>85 1</t>
  </si>
  <si>
    <t>000 1 14 00000 00 0000 000</t>
  </si>
  <si>
    <t>000 1 09 00000 00 0000 000</t>
  </si>
  <si>
    <t>14</t>
  </si>
  <si>
    <t>Дополнительное образование детей</t>
  </si>
  <si>
    <t>ИТОГО</t>
  </si>
  <si>
    <t xml:space="preserve">Наименование </t>
  </si>
  <si>
    <t>Сведения о расходах бюджета по разделам и подразделам классификации расходов бюджета</t>
  </si>
  <si>
    <t xml:space="preserve">Поступления доходов по классификации доходов бюджетов 
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</si>
  <si>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</si>
  <si>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</si>
  <si>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</si>
  <si>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</si>
  <si>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</si>
  <si>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</si>
  <si>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</si>
  <si>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</si>
  <si>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</si>
  <si>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</si>
  <si>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</si>
  <si>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Возврат остатков субсидий, субвенций и иных межбюджетных трансфертов, имеющих целевое назначение, прошлых лет</t>
  </si>
  <si>
    <t>Источники внутреннего финансирования дефицита бюджета 
городского округа Эгвекинот на 2016 год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</si>
  <si>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</si>
  <si>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</si>
  <si>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 Российской Федерации  в валюте Российской Федерации</t>
  </si>
  <si>
    <t>Изменение остатков средств на счетах по учету средств бюджета</t>
  </si>
  <si>
    <t>Увеличение  остатков средств бюджетов</t>
  </si>
  <si>
    <t>Уменьшение остатков средств бюджетов</t>
  </si>
  <si>
    <t xml:space="preserve"> 000 01 00 00 00 00 0000 000</t>
  </si>
  <si>
    <t xml:space="preserve"> 000 01 03 00 00 00 0000 000</t>
  </si>
  <si>
    <t xml:space="preserve"> 000 01 03 01 00 00 0000 700</t>
  </si>
  <si>
    <t xml:space="preserve"> 000 01 03 01 00 00 0000 800</t>
  </si>
  <si>
    <t xml:space="preserve"> 000 01 05 00 00 00 0000 000</t>
  </si>
  <si>
    <t xml:space="preserve"> 000 01 05 00 00 00 0000 500</t>
  </si>
  <si>
    <t xml:space="preserve"> 000 01 05 00 00 00 0000 600</t>
  </si>
  <si>
    <t>Понедельник</t>
  </si>
  <si>
    <t>Пятница</t>
  </si>
  <si>
    <t>Выходной</t>
  </si>
  <si>
    <t>Шпак Анна Владимировна</t>
  </si>
  <si>
    <t>Руководитель</t>
  </si>
  <si>
    <t>Контактная информация</t>
  </si>
  <si>
    <t>тел. 2-23-15</t>
  </si>
  <si>
    <t>тел. 2-29-25</t>
  </si>
  <si>
    <t>График приема начальником Управления ФЭИ</t>
  </si>
  <si>
    <t>с 17.00 до 18.00</t>
  </si>
  <si>
    <t>График работы Управления ФЭИ</t>
  </si>
  <si>
    <t>Вторник</t>
  </si>
  <si>
    <t>Среда</t>
  </si>
  <si>
    <t>Четверг</t>
  </si>
  <si>
    <t>Суббота</t>
  </si>
  <si>
    <t>Воскресенье</t>
  </si>
  <si>
    <t>адрес организации: п. Эгвекинот, ул. Ленина д.1</t>
  </si>
  <si>
    <t>Управление финансов, экономики и имущественных отношений 
городского округа Эгвекинот 
(Управление ФЭИ ГО Эгвекинот)</t>
  </si>
  <si>
    <t xml:space="preserve"> Начальник Управления ФЭИ</t>
  </si>
  <si>
    <t>Приёмная</t>
  </si>
  <si>
    <t>Наименование показателя</t>
  </si>
  <si>
    <t>Ед.изм.</t>
  </si>
  <si>
    <t>Факт</t>
  </si>
  <si>
    <t>Ожид.</t>
  </si>
  <si>
    <t>Прогноз</t>
  </si>
  <si>
    <t>Численность населения  - всего</t>
  </si>
  <si>
    <t xml:space="preserve"> тыс. человек</t>
  </si>
  <si>
    <t>в % к предыдущему году</t>
  </si>
  <si>
    <t>в том числе:  городского</t>
  </si>
  <si>
    <t xml:space="preserve">сельского       </t>
  </si>
  <si>
    <t>II. Промышленность</t>
  </si>
  <si>
    <t>в ценах соответствующих лет</t>
  </si>
  <si>
    <t>млн.руб</t>
  </si>
  <si>
    <t xml:space="preserve"> в % к предыдущему году</t>
  </si>
  <si>
    <t>%</t>
  </si>
  <si>
    <t xml:space="preserve">В том числе по отраслям: </t>
  </si>
  <si>
    <t>млн.руб.</t>
  </si>
  <si>
    <t>Пищевая промышленность</t>
  </si>
  <si>
    <t>Основные показатели развития электроэнергетики</t>
  </si>
  <si>
    <t>Полезный отпуск электроэнергии - всего</t>
  </si>
  <si>
    <t>тыс.кВт.ч.</t>
  </si>
  <si>
    <t>в том числе по группам потребителей:</t>
  </si>
  <si>
    <t>в том числе:</t>
  </si>
  <si>
    <t>единиц</t>
  </si>
  <si>
    <t>морзверобойные хозяйства</t>
  </si>
  <si>
    <t xml:space="preserve">  км.</t>
  </si>
  <si>
    <t>человек</t>
  </si>
  <si>
    <t>Объем подрядных работ</t>
  </si>
  <si>
    <t>в ценах   соответствующих лет</t>
  </si>
  <si>
    <t>Строительство</t>
  </si>
  <si>
    <t>Доходы - всего</t>
  </si>
  <si>
    <t xml:space="preserve">  в том числе:</t>
  </si>
  <si>
    <t>Величина прожиточного минимума в среднем на душу населения в месяц</t>
  </si>
  <si>
    <t>руб.</t>
  </si>
  <si>
    <t>Численность населения с денежными доходами ниже прожиточного минимума в % ко всему населению</t>
  </si>
  <si>
    <t xml:space="preserve">млн.руб. </t>
  </si>
  <si>
    <t>Ввод в эксплуатацию жилых домов за счет всех источников финансирования</t>
  </si>
  <si>
    <t>кв.м.</t>
  </si>
  <si>
    <t>Средняя обеспеченность населения общей площадью жилых квартир (на конец года)</t>
  </si>
  <si>
    <t>кв.м. на человека</t>
  </si>
  <si>
    <t>Полная стоимость предоставляемых населению жилищно-коммунальных услуг</t>
  </si>
  <si>
    <t>Доля стоимости жилищно-коммунальных услуг, оплачиваемых населением</t>
  </si>
  <si>
    <t>Численность детей в учреждениях дошкольного и общего образования</t>
  </si>
  <si>
    <t>Численность учащихся среднего профессионального образования</t>
  </si>
  <si>
    <t>Обеспеченность:</t>
  </si>
  <si>
    <t xml:space="preserve"> коек на 1 тыс.жителей</t>
  </si>
  <si>
    <t>посещений в смену на 1 тыс.жителей</t>
  </si>
  <si>
    <t>чел. на 1 тыс.жителей</t>
  </si>
  <si>
    <t>учрежд.на 1 тыс.населения</t>
  </si>
  <si>
    <t>Численность обучающихся в первую смену в дневных учреждениях общего образования</t>
  </si>
  <si>
    <t>в % к общему числу</t>
  </si>
  <si>
    <t>100</t>
  </si>
  <si>
    <t>тн</t>
  </si>
  <si>
    <t>Электроэнергия</t>
  </si>
  <si>
    <t>млн.кВт.ч</t>
  </si>
  <si>
    <t>ТЭС</t>
  </si>
  <si>
    <t xml:space="preserve">ДЭС </t>
  </si>
  <si>
    <t>отпуск теплоэнергии - всего</t>
  </si>
  <si>
    <t>тыс.Гкал</t>
  </si>
  <si>
    <t>в том числе полезный</t>
  </si>
  <si>
    <t>Золото</t>
  </si>
  <si>
    <t>кг.</t>
  </si>
  <si>
    <t>ИТОГО:</t>
  </si>
  <si>
    <t>Мясо (включая субпродукты 1 категории и мясо морзверя)</t>
  </si>
  <si>
    <t>тонн</t>
  </si>
  <si>
    <t>Цельномолочная продукция</t>
  </si>
  <si>
    <t>Хлеб и хлебобулочные изделия</t>
  </si>
  <si>
    <t>№ п/п</t>
  </si>
  <si>
    <t>Един. измерения</t>
  </si>
  <si>
    <t xml:space="preserve">Прогноз </t>
  </si>
  <si>
    <t>2019 г.</t>
  </si>
  <si>
    <t>1.</t>
  </si>
  <si>
    <t>Выработка электроэнергии всего:</t>
  </si>
  <si>
    <t>ЭГРЭС</t>
  </si>
  <si>
    <t>МУП ЖКХ «Иультинское»</t>
  </si>
  <si>
    <t>2.</t>
  </si>
  <si>
    <t>- ЭГРЭС</t>
  </si>
  <si>
    <t>ООО "Тепло-Рыркайпий"</t>
  </si>
  <si>
    <t>3.</t>
  </si>
  <si>
    <t>Добыча золота</t>
  </si>
  <si>
    <t>кг</t>
  </si>
  <si>
    <t>4.</t>
  </si>
  <si>
    <t>Мясо, включая мясо морзверя</t>
  </si>
  <si>
    <t>5.</t>
  </si>
  <si>
    <t>6.</t>
  </si>
  <si>
    <t>Приложение № 2</t>
  </si>
  <si>
    <t>Наименование хлебопекарного предприятия</t>
  </si>
  <si>
    <t>тн.</t>
  </si>
  <si>
    <t>ООО «Иультинский пекарь»</t>
  </si>
  <si>
    <t>ООО «Хлебный дар»</t>
  </si>
  <si>
    <t>ИП Яковенко В.М.</t>
  </si>
  <si>
    <t>Приложение № 3</t>
  </si>
  <si>
    <t>Забой</t>
  </si>
  <si>
    <t>Голов</t>
  </si>
  <si>
    <t>Убойный вес (тн)</t>
  </si>
  <si>
    <t>Олени:</t>
  </si>
  <si>
    <t>Приложение № 4</t>
  </si>
  <si>
    <t>ПЛАН</t>
  </si>
  <si>
    <t>Наименование мероприятий, работ</t>
  </si>
  <si>
    <t xml:space="preserve"> </t>
  </si>
  <si>
    <t>Субсидии бюджетам городских округов на софинансирование капитальных вложений в объекты муниципальной собственности</t>
  </si>
  <si>
    <t>На обеспечение жителей округа социально значимыми продовольственными товарами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</si>
  <si>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</si>
  <si>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</si>
  <si>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r>
      <t xml:space="preserve">На предоставление мер социальной поддержки по оплате жилого помещения и коммунальных услуг работникам </t>
    </r>
    <r>
      <rPr>
        <i/>
        <sz val="12"/>
        <color indexed="8"/>
        <rFont val="Times New Roman"/>
        <family val="1"/>
        <charset val="204"/>
      </rPr>
      <t>образовательных учреждений</t>
    </r>
  </si>
  <si>
    <r>
      <t xml:space="preserve">На предоставление мер социальной поддержки по оплате жилого помещения и коммунальных услуг работникам </t>
    </r>
    <r>
      <rPr>
        <i/>
        <sz val="12"/>
        <color indexed="8"/>
        <rFont val="Times New Roman"/>
        <family val="1"/>
        <charset val="204"/>
      </rPr>
      <t>учреждений культуры</t>
    </r>
  </si>
  <si>
    <t>На организацию проведения мероприятий по отлову и содержанию безнадзорных животных</t>
  </si>
  <si>
    <t xml:space="preserve">Капитальный ремонт кровель в МКД </t>
  </si>
  <si>
    <t>Реконструкция тепловых и водопроводных сетей</t>
  </si>
  <si>
    <t>Реконструкция электросетей 6 кВ 11 км</t>
  </si>
  <si>
    <t>Реконструкция электросетей 0,4 кВ 9 км-14,2</t>
  </si>
  <si>
    <r>
      <t>Благоустройство (бетонирование) (10000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</si>
  <si>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ЦТП</t>
  </si>
  <si>
    <t>Реконструкция котельной (Гкал-6,6)</t>
  </si>
  <si>
    <t>Строительство административного здания</t>
  </si>
  <si>
    <t>Реконструкция котельной (5 Гкал)</t>
  </si>
  <si>
    <r>
      <t>Строительство водоочистных сооружений (100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 xml:space="preserve"> / в сутки)</t>
    </r>
  </si>
  <si>
    <t>Строительство вертолетной площадки</t>
  </si>
  <si>
    <t>Реконструкция тепловых сетей, холодного и горячего водоснабжения</t>
  </si>
  <si>
    <t>Строительство пождепо на 2 автомобиля</t>
  </si>
  <si>
    <r>
      <t>Строительство водоочистных сооружений (400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в сутки)</t>
    </r>
  </si>
  <si>
    <t>Строительство пристройки к школе</t>
  </si>
  <si>
    <t>Реконструкция электросетей 0,4 кВ 5 км.</t>
  </si>
  <si>
    <t>Строительство ВПП</t>
  </si>
  <si>
    <t>2020 г.</t>
  </si>
  <si>
    <t>Бюджетные инвестиции на приобретение объектов недвижимого имущества в государственную (муниципальную) собственность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</si>
  <si>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</si>
  <si>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</si>
  <si>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Здравоохранение</t>
  </si>
  <si>
    <t>Санитарно-эпидемиологическое благополучие</t>
  </si>
  <si>
    <t>Подпрограмма «Финансовая поддержка торговых предприятий, реализующих населению социально значимые продовольственные товары»</t>
  </si>
  <si>
    <t>Подпрограмма «Обеспечение пожарной безопасности и безопасности людей на водных объектах»</t>
  </si>
  <si>
    <t>Подпрограмма «Защита населения и территории городского округа Эгвекинот от опасностей, возникающих при военных конфликтах или вследствие этих конфликтов, а также при чрезвычайных ситуациях природного и техногенного характера»</t>
  </si>
  <si>
    <t>Подпрограмма «Укрепление межэтнических и межрелигиозных отношений на территории городского округа Эгвекинот»</t>
  </si>
  <si>
    <t>На выполнение ремонта жилых помещений муниципального жилищного фонда, а также реконструкции зданий для перевода нежилых помещений в категорию жилых</t>
  </si>
  <si>
    <t>На обустройство имущественного комплекса горнолыжного назначения в п.Эгвекинот</t>
  </si>
  <si>
    <t>На разработку проектно-сметной документации на строительство (реконструкцию) полигонов твердых коммунальных отходов</t>
  </si>
  <si>
    <t>I. Демографические показатели</t>
  </si>
  <si>
    <t>Объем  промышленной продукции (в фактический действующих ценах)</t>
  </si>
  <si>
    <t>Электроэнергетика</t>
  </si>
  <si>
    <t>промышленность и приравненные к ней отрасли</t>
  </si>
  <si>
    <t>сельскохозяйственные производственные потребители</t>
  </si>
  <si>
    <t>население</t>
  </si>
  <si>
    <t>Продукция сельского хозяйства во всех категориях хозяйств - всего</t>
  </si>
  <si>
    <t>продукция животноводства</t>
  </si>
  <si>
    <t>продукция морских промыслов</t>
  </si>
  <si>
    <t xml:space="preserve">Количество предприятий, занятых производством сельскохозяйственной продукции - всего: </t>
  </si>
  <si>
    <t>оленеводческие хозяйства</t>
  </si>
  <si>
    <t>хлеб и мучные кондитерские изделия</t>
  </si>
  <si>
    <t>кисло-молочные продукты</t>
  </si>
  <si>
    <t>III. Транспорт и связь</t>
  </si>
  <si>
    <t>Протяженность муниципальных автомобильных дорог с твердым покрытием</t>
  </si>
  <si>
    <t>IV. Малое и среднее предпринимательство</t>
  </si>
  <si>
    <t>Обеспечение электрической энергией, газом и паром; кондиционирование воздуха</t>
  </si>
  <si>
    <t>V. Инвестиции</t>
  </si>
  <si>
    <t>Объем инвестиций в основной капитал - всего</t>
  </si>
  <si>
    <t>инвестиции в основной капитал за счет средств муниципального бюджета</t>
  </si>
  <si>
    <t>Среднесписочная численность работников организаций</t>
  </si>
  <si>
    <t xml:space="preserve">Сельское, лесное хозяйство, охота, рыболовство и рыбоводство </t>
  </si>
  <si>
    <t>Торговля оптовая и розничная</t>
  </si>
  <si>
    <t>Транпортировка и хранение</t>
  </si>
  <si>
    <t>Госсударственное управление и обеспечение военной безопасности; социальное обеспечение</t>
  </si>
  <si>
    <t>Деятельность в области культуры, спорта, организации досуга и развлечений</t>
  </si>
  <si>
    <r>
      <t xml:space="preserve">VII. Денежные доходы  </t>
    </r>
    <r>
      <rPr>
        <sz val="12"/>
        <rFont val="Times New Roman"/>
        <family val="1"/>
        <charset val="204"/>
      </rPr>
      <t>(в ценах соответствующих лет)</t>
    </r>
  </si>
  <si>
    <t>фонд заработной платы</t>
  </si>
  <si>
    <t>социальные выплаты - всего</t>
  </si>
  <si>
    <t>пенсии и пособия</t>
  </si>
  <si>
    <t>прочие доходы</t>
  </si>
  <si>
    <t>VIII. Развитие отраслей социальной сферы</t>
  </si>
  <si>
    <t>больничными койками</t>
  </si>
  <si>
    <t>амбулаторно-поликлиническими учреждениями</t>
  </si>
  <si>
    <t>фельдшерско-акушерскими пунктами</t>
  </si>
  <si>
    <t>врачами</t>
  </si>
  <si>
    <t>средним медицинским персоналом</t>
  </si>
  <si>
    <t>массовыми библиотеками</t>
  </si>
  <si>
    <t>клубными учреждениями</t>
  </si>
  <si>
    <r>
      <t>XI</t>
    </r>
    <r>
      <rPr>
        <b/>
        <sz val="8"/>
        <rFont val="Times New Roman"/>
        <family val="1"/>
        <charset val="204"/>
      </rPr>
      <t>.</t>
    </r>
    <r>
      <rPr>
        <b/>
        <sz val="12"/>
        <rFont val="Times New Roman"/>
        <family val="1"/>
        <charset val="204"/>
      </rPr>
      <t xml:space="preserve"> Производство важнейших видов продукции в натуральном выражении</t>
    </r>
  </si>
  <si>
    <t>в том числе вырабатываемая:</t>
  </si>
  <si>
    <t>Приложение № 1</t>
  </si>
  <si>
    <t>Ед. измерения</t>
  </si>
  <si>
    <t>2021 г.</t>
  </si>
  <si>
    <t>Отпуск теплоэнергии всего:</t>
  </si>
  <si>
    <t>Приобретение квартир</t>
  </si>
  <si>
    <t>Капитальный ремонт водовода</t>
  </si>
  <si>
    <t>Реконструкция здания  ДЭС</t>
  </si>
  <si>
    <t>Реконструкция канализационных сетей</t>
  </si>
  <si>
    <t>Капитальный ремонт 16- квартирного дома по ул. Солнечная, 12 в с. Рыркайпий</t>
  </si>
  <si>
    <t>На финансовую поддержку производства социально значимых видов хлеба</t>
  </si>
  <si>
    <t xml:space="preserve"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</si>
  <si>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На реализацию проектов инициативного бюджетирования в городском округе Эгвекинот</t>
  </si>
  <si>
    <t>На развитие и поддержку национальных видов спорта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</si>
  <si>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</si>
  <si>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На выполнение ремонтных работ в муниципальных образовательных организациях</t>
  </si>
  <si>
    <t>На приобретение оборудования на реализацию мероприятий по поддержке творчества обучающихся инженерной направленности</t>
  </si>
  <si>
    <t>На исполнение полномочий органов местного самоуправления в сфере водоснабжения и водоотведения</t>
  </si>
  <si>
    <t>На реализацию мероприятий по профессиональной ориентации лиц, обучающихся в общеобразовательных организациях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</si>
  <si>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</si>
  <si>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На формирование жилищного фонда для специалистов Чукотского автономного округа </t>
  </si>
  <si>
    <t>Иные межбюджетные трансферты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</si>
  <si>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</si>
  <si>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Молодежная политика</t>
  </si>
  <si>
    <t>На проведение массовых физкультурных мероприятий среди различных категорий населения</t>
  </si>
  <si>
    <t>На приобретение оборудования и товарно-материальных ценностей для нужд муниципальных образовательных организаций</t>
  </si>
  <si>
    <t>На обустройство взлетно-посадочных площадок в населенных пунктах Чукотского автономного округа</t>
  </si>
  <si>
    <t>птицеводство</t>
  </si>
  <si>
    <t xml:space="preserve">Количество малых и средних предприятий включенных в единый реестр субъектов малого и среднего предпринимательства на конец года - всего:  </t>
  </si>
  <si>
    <t xml:space="preserve">Юридические лица </t>
  </si>
  <si>
    <t>шт</t>
  </si>
  <si>
    <t>Индивидуальные предприниматели</t>
  </si>
  <si>
    <t>Малые предприяти</t>
  </si>
  <si>
    <t>Микро предприятия</t>
  </si>
  <si>
    <t>VI. Занятость и заработная плата</t>
  </si>
  <si>
    <t>Среднемесячная начисленная заработная плата работников организаций</t>
  </si>
  <si>
    <t>рублей</t>
  </si>
  <si>
    <t>280</t>
  </si>
  <si>
    <t>Производство яиц</t>
  </si>
  <si>
    <t>тыс.штук</t>
  </si>
  <si>
    <t>2022 г.</t>
  </si>
  <si>
    <t>тыс. штук</t>
  </si>
  <si>
    <t>7.</t>
  </si>
  <si>
    <t>Наименование предприятия</t>
  </si>
  <si>
    <t>строительства, реконструкции  и  капитального  ремонта</t>
  </si>
  <si>
    <t>Населенный пункт</t>
  </si>
  <si>
    <t xml:space="preserve"> ТК19-ТК80-ТК81-Комсомольская, 3</t>
  </si>
  <si>
    <t>ТК51-ТК52-ТК53</t>
  </si>
  <si>
    <t>КЛ 6 ТП 10-ТП12</t>
  </si>
  <si>
    <t>КЛ 6 ТП 10-ТП3</t>
  </si>
  <si>
    <t>ТК3-ТК 8</t>
  </si>
  <si>
    <t>ТК8-ТК9</t>
  </si>
  <si>
    <t>ТК15-ТК18</t>
  </si>
  <si>
    <t>с. Конергино</t>
  </si>
  <si>
    <t>с. Рыркайпий</t>
  </si>
  <si>
    <t>Ограждение свалки</t>
  </si>
  <si>
    <t>Замена кабельной линии 6кВ от ТП-Д до ТП-8</t>
  </si>
  <si>
    <t>Замена кабельной линии  6 кВ от РУ ДЭС-1 до ТП-Копань</t>
  </si>
  <si>
    <t>Замена кабельной линии 6кВ от РУ ДЭС-1 до ТП-Д</t>
  </si>
  <si>
    <t>СМР</t>
  </si>
  <si>
    <t xml:space="preserve">ТК-6 -ТК6/4  </t>
  </si>
  <si>
    <t>ТК-6/4 -ТК-6/5</t>
  </si>
  <si>
    <t>ТК-6 - до ул. Центральная, д.3</t>
  </si>
  <si>
    <t>строительство</t>
  </si>
  <si>
    <t>с 9.00 до 18.45 (с 13.00 до 14.30 обеденный перерыв)</t>
  </si>
  <si>
    <t>с 9.00 до 17.30 (с 13.00 до 14.30 обеденный перерыв)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</si>
  <si>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</si>
  <si>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</si>
  <si>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на частичную компенсацию организациям ЖКХ затрат по уплате лизинговых платежей по договорам финансовой аренды (лизинга) техники и оборудования</t>
  </si>
  <si>
    <t>на реализацию проектов по благоустройству сельских территорий</t>
  </si>
  <si>
    <t>Субвенции бюджетам бюджетной системы Российской Федерации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</si>
  <si>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</si>
  <si>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 xml:space="preserve">Численность поголовья на 01.01.2020 </t>
  </si>
  <si>
    <t>Численность поголовья на 01.01.2022</t>
  </si>
  <si>
    <t>2023 г.</t>
  </si>
  <si>
    <t>Прочие межбюджетные трансферты</t>
  </si>
  <si>
    <t>На модернизацию (капитальный ремонт, реконструкция) муниципальных детских школ искусств по видам искусств за счет средств гранта</t>
  </si>
  <si>
    <t>На проведение ремонтных работ в учреждениях культурно-досугового типа Чукотского автономного округа</t>
  </si>
  <si>
    <t>На возмещение субъектам предпринимательской деятельности части затрат по оплате коммунальных услуг в условиях ухудшения ситуации в связи с распространением новой коронавирусной инфекции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</si>
  <si>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</si>
  <si>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</si>
  <si>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Проведение выборов Главы и депутатов Совета депутатов городского округа Эгвекинот</t>
  </si>
  <si>
    <t>e-mail: ufei@go-egvekinot.ru</t>
  </si>
  <si>
    <t>2018 г.</t>
  </si>
  <si>
    <t>Деятельность в области здравоохранения и социальных услуг</t>
  </si>
  <si>
    <t>212</t>
  </si>
  <si>
    <t>Приобретение и поставка мусорных баков в п. Эгвекинот</t>
  </si>
  <si>
    <t>поставка</t>
  </si>
  <si>
    <t>Замена ограждения кладбища в п. Эгвекинот</t>
  </si>
  <si>
    <t>ПСД и СМР</t>
  </si>
  <si>
    <t>Ремонт клумбы с устройством освешения и илюминиции</t>
  </si>
  <si>
    <t>Приобретение и поставка автобусных остановок  в п. Эгвекинот</t>
  </si>
  <si>
    <t xml:space="preserve">ост. "Техникум" и ост. . "Славутич" </t>
  </si>
  <si>
    <t>Капитальный ремонт автодорог и дворовых территорий</t>
  </si>
  <si>
    <t>Проектно-сметная документация</t>
  </si>
  <si>
    <t>Реконструкция сетей уличного освещения</t>
  </si>
  <si>
    <t>Ремонт линии электропередач 0,4 кВт по ул. Прокунина</t>
  </si>
  <si>
    <t>стр</t>
  </si>
  <si>
    <t>Строительство плавательного бассейна</t>
  </si>
  <si>
    <t>Строительство общественного туалета в п. Эгвекинот</t>
  </si>
  <si>
    <t>Строительство горки в п. Эгвекинот</t>
  </si>
  <si>
    <t>Благоустройство территории памятника «строителям дороги»</t>
  </si>
  <si>
    <t>Благоустройство территории памятника «Алсиб»</t>
  </si>
  <si>
    <t xml:space="preserve">ПСД и СМР </t>
  </si>
  <si>
    <t>СП Амгуэма</t>
  </si>
  <si>
    <t>Капитальный ремонт кровель в МКД (7 МКД)</t>
  </si>
  <si>
    <r>
      <t>Строительство здания почты (120 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</si>
  <si>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спортивной площадки</t>
  </si>
  <si>
    <r>
      <t>Благоустройство (бетонирование) (9000  м</t>
    </r>
    <r>
      <rPr>
        <vertAlign val="superscript"/>
        <sz val="12"/>
        <color indexed="8"/>
        <rFont val="Times New Roman"/>
        <family val="1"/>
        <charset val="204"/>
      </rPr>
      <t xml:space="preserve">2 </t>
    </r>
    <r>
      <rPr>
        <sz val="12"/>
        <color indexed="8"/>
        <rFont val="Times New Roman"/>
        <family val="1"/>
        <charset val="204"/>
      </rPr>
      <t>)</t>
    </r>
  </si>
  <si>
    <r>
      <t>Строительство спортивного комплекса (730 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</si>
  <si>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 xml:space="preserve">Строительство 10-ти квартирного жилого дома для «малосемейных» </t>
  </si>
  <si>
    <r>
      <t>Перенос склада ГСМ (300 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) из поймы нерестовой речки</t>
    </r>
  </si>
  <si>
    <t>ограждение свалки ТКО</t>
  </si>
  <si>
    <t>ограждение питьевого озера</t>
  </si>
  <si>
    <t>Строительство 12 квартирного дома</t>
  </si>
  <si>
    <t>Строительство 42 одноквартирных жилых домов</t>
  </si>
  <si>
    <t>Необходимо выполнить комплекс  работ, научно-практических исследований на предмет возможности сохранения озера</t>
  </si>
  <si>
    <r>
      <t>Установка емкости под холодную воду (500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)</t>
    </r>
  </si>
  <si>
    <t>Утепление полов первых этажей в жилищном фонде</t>
  </si>
  <si>
    <r>
      <t>Благоустройство (бетонирование) (14000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</si>
  <si>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гаража на 10 машин</t>
  </si>
  <si>
    <r>
      <t>Строительство спортивного комплекса (730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</si>
  <si>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Реонструкция, ремонт сетей электроснабжения</t>
  </si>
  <si>
    <t>Ограждление источника водоснабжения</t>
  </si>
  <si>
    <t>Строительство ВПП в с. Рыркайпий</t>
  </si>
  <si>
    <t>Ремонт моста</t>
  </si>
  <si>
    <t>Благоустройство с. Рыркайпий</t>
  </si>
  <si>
    <t>СП Ванкарем</t>
  </si>
  <si>
    <t>Поставка модульного административного  здания для с. Ванкарем</t>
  </si>
  <si>
    <t>Проектно-сметная документация и поставка</t>
  </si>
  <si>
    <t xml:space="preserve">Строительство школы (учащиеся 20 чел.) </t>
  </si>
  <si>
    <t>ремонт</t>
  </si>
  <si>
    <t>Строительство 12 одноквартирных  домов</t>
  </si>
  <si>
    <t>Поставка модульного здания  бани для с. Ванкарем</t>
  </si>
  <si>
    <t xml:space="preserve">Проектно-сметная документация и поставка, </t>
  </si>
  <si>
    <t>Монтаж детской игровой площадки в с. Ванкарем</t>
  </si>
  <si>
    <t>СП Нутепельмен</t>
  </si>
  <si>
    <r>
      <t>Благоустройство (бетонирование) (8000 м</t>
    </r>
    <r>
      <rPr>
        <vertAlign val="superscript"/>
        <sz val="12"/>
        <color indexed="8"/>
        <rFont val="Times New Roman"/>
        <family val="1"/>
        <charset val="204"/>
      </rPr>
      <t xml:space="preserve">2 </t>
    </r>
    <r>
      <rPr>
        <sz val="12"/>
        <color indexed="8"/>
        <rFont val="Times New Roman"/>
        <family val="1"/>
        <charset val="204"/>
      </rPr>
      <t>)</t>
    </r>
  </si>
  <si>
    <t>Строительство 10 одноквартирных домов</t>
  </si>
  <si>
    <t>СП Уэлькаль</t>
  </si>
  <si>
    <t>Строительство 12 квартирного ЖД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</si>
  <si>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</si>
  <si>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Прочие не налоговые доходы</t>
  </si>
  <si>
    <t>Субсидии бюджетам городских округов на развитие обеспечение комплексного развития сельских поселений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</si>
  <si>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</si>
  <si>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Гражданская оборона</t>
  </si>
  <si>
    <t>На содействие развитию индивидуального жилищного строительства</t>
  </si>
  <si>
    <t>План на 2022 год</t>
  </si>
  <si>
    <t xml:space="preserve">Субсидии бюджетам городских округов на поддержку отраслей культуры </t>
  </si>
  <si>
    <t xml:space="preserve">На организацию  и проведение юбилейных праздничных мероприятий по сохранению и развитию  культурного наследия народов Чукотского автономного округа </t>
  </si>
  <si>
    <t>Межбюджетные трансферты, передаваемые бюджетам городских округов на создание модельных муниципальных библиотек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</si>
  <si>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</si>
  <si>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</si>
  <si>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по муниципальным программам городского округа Эгвекинот и непрограммным направлениям деятельности на 2022 год</t>
  </si>
  <si>
    <t>Муниципальная программа «Профилактика терроризма, а также минимизация и (или) ликвидация  последствий проявлений терроризма на территории городского округа Эгвекинот»</t>
  </si>
  <si>
    <t>Муниципальная программа «Развитие образования, культуры и молодёжной политики в городском округе Эгвекинот»</t>
  </si>
  <si>
    <t>Муниципальная программа «Стимулирование экономической активности населения городского округа Эгвекинот»</t>
  </si>
  <si>
    <t>Подпрограмма «Финансовая поддержка субъектов предпринимательской деятельности, осуществляющих деятельность в сельской местности»</t>
  </si>
  <si>
    <t>Муниципальная программа «Развитие физической культуры и спорта в городском округе Эгвекинот»</t>
  </si>
  <si>
    <t>Муниципальная программа «Поддержка жилищно-коммунального хозяйства и энергетики городского округа Эгвекинот»</t>
  </si>
  <si>
    <t>Муниципальная программа «Развитие транспортной инфраструктуры городского округа Эгвекинот»</t>
  </si>
  <si>
    <t>Муниципальная программа «Содержание, развитие и ремонт инфраструктуры городского округа Эгвекинот»</t>
  </si>
  <si>
    <t>Муниципальная программа «Поддержка развития пищевой промышленности и торговли в городском округе Эгвекинот»</t>
  </si>
  <si>
    <t>Муниципальная программа «Безопасность населения в городском округе Эгвекинот»</t>
  </si>
  <si>
    <t>Муниципальная программа «Гармонизация межэтнических и межкультурных отношений, профилактика экстремизма на территории городского округа Эгвекинот»</t>
  </si>
  <si>
    <t>Фактическое исполнение за 2021 год</t>
  </si>
  <si>
    <t>План на 2022 год (по состоянию на 1 января)</t>
  </si>
  <si>
    <t>План на 2022 год с учетом изменений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</si>
  <si>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</si>
  <si>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бюджетам городских округов на поддержку мер по обеспечению сбалансированности бюджетов</t>
  </si>
  <si>
    <t>На выполнение ремонтных работ в муниципальных учреждениях культуры</t>
  </si>
  <si>
    <t>На выполнение ремонтных работ в муниципальных учреждениях спорта</t>
  </si>
  <si>
    <t>Дотации (гранты) бюджетам городских округов за достижение показателей деятельности органов местного самоуправления</t>
  </si>
  <si>
    <t>Подпрограмма «Развитие и содержание авиационного комплекса»</t>
  </si>
  <si>
    <t>Прочие безвозмездные поступления в бюджеты городских округов</t>
  </si>
  <si>
    <t>Подпрограмма «Пассажирские перевозки»</t>
  </si>
  <si>
    <t>Подпрограмма «Совершенствование, развитие и содержание сети автомобильных дорог»</t>
  </si>
  <si>
    <t>Основные показатели прогноза социально-экономического  развития  городского округа Эгвекинот на 2022 - 2024 годы</t>
  </si>
  <si>
    <t xml:space="preserve">2024 г. </t>
  </si>
  <si>
    <t>продукция птицеводства</t>
  </si>
  <si>
    <t>182</t>
  </si>
  <si>
    <t>208</t>
  </si>
  <si>
    <t>210</t>
  </si>
  <si>
    <t xml:space="preserve">к основным показателям прогноза социально-экономического
 развития городского округа Эгвекинот на 2022-2024 годы </t>
  </si>
  <si>
    <t>Производство важнейших видов продукции в натуральном выражении по городскому округу Эгвекинот на 2022-2024 годы</t>
  </si>
  <si>
    <t>Факт за 2020 год</t>
  </si>
  <si>
    <t>Ожидаемое выполнение 2021г.</t>
  </si>
  <si>
    <t>2024 г.</t>
  </si>
  <si>
    <t>Объемы производства хлеба и хлебобулочных изделий на 2022 год по городскому округу Эгвекинот</t>
  </si>
  <si>
    <t>Фактически за 2020 год</t>
  </si>
  <si>
    <t>Ожидаемое выполнение за 2021 год</t>
  </si>
  <si>
    <t>Объемы производства цельномолочной продукции
 на 2022 год по городскому округу Эгвекинот</t>
  </si>
  <si>
    <t>ПЛАН по поголовью оленей на 2022 год</t>
  </si>
  <si>
    <t>ФАКТ за 2020 год</t>
  </si>
  <si>
    <t>Ожидаемый за 2021 год</t>
  </si>
  <si>
    <t xml:space="preserve">Численность поголовья на 01.01.2021 </t>
  </si>
  <si>
    <t>Численность поголовья на 01.01.2023</t>
  </si>
  <si>
    <t>МУ СХП «Возрождение»</t>
  </si>
  <si>
    <t>МУП СХП «Амгуэма»</t>
  </si>
  <si>
    <t>МУП СХП «Пионер»</t>
  </si>
  <si>
    <t>Всего по округу:</t>
  </si>
  <si>
    <t xml:space="preserve">к основным показателям прогноза социально-экономического развития городского округа Эгвекинот на 2022-2024 годы </t>
  </si>
  <si>
    <t>по городскому округу Эгвекинот на 2022 - 2024 г.г.</t>
  </si>
  <si>
    <t>Эгвекинот</t>
  </si>
  <si>
    <t>Ленина 22А, Рынтыргина 9,  Ленина 2, Набережная 3</t>
  </si>
  <si>
    <t>Ленина 21/1,  Прокунина 12</t>
  </si>
  <si>
    <t>Набережная 1, Ленина 20, Рынтыргина 15</t>
  </si>
  <si>
    <t>ТК27-ТК-26-ТК-25А-ТК24-ТК40-ТК99, ТК40-МКД Прокунина 1</t>
  </si>
  <si>
    <t>Утепление фасадов жилых домов</t>
  </si>
  <si>
    <t>Попова 3, Рынтыргина, 11, 12</t>
  </si>
  <si>
    <t>Ремонт фасадов жилых домов</t>
  </si>
  <si>
    <t>по ул. Гагаринга дома №№ 6,8</t>
  </si>
  <si>
    <t>по ул. Гагаринга дома №№ 9,10,11.</t>
  </si>
  <si>
    <t>по ул.Ленина дома №№ 4,22.</t>
  </si>
  <si>
    <t xml:space="preserve"> СМР-2 этап</t>
  </si>
  <si>
    <t>Ленина 20,22,22А</t>
  </si>
  <si>
    <t>Улица Советская- Портовая</t>
  </si>
  <si>
    <t>Рынтыргина 1,3,5,6,7,9,11,13,16</t>
  </si>
  <si>
    <t>Капитальный ремонт выгребных ям</t>
  </si>
  <si>
    <t>Гагарина 6,7,8,9,10,11</t>
  </si>
  <si>
    <t xml:space="preserve">Прокунина 12/1,Ленина 17, Попова 1, </t>
  </si>
  <si>
    <t>Советская 20, Набережная 1/1, Ленина 4</t>
  </si>
  <si>
    <t xml:space="preserve">Полная замена системы отопления, ХГВС и канализации в МКД </t>
  </si>
  <si>
    <t>ПСД                                       Попова 1А; Ленина 17</t>
  </si>
  <si>
    <t>Набережная 1,3,5,1/1; Первопроходцев1,1А;Прокуцнина 3,9;</t>
  </si>
  <si>
    <t>Гагарина 12;</t>
  </si>
  <si>
    <t>ПСД</t>
  </si>
  <si>
    <t>КЛ ПС 35/6- ТП 12 КЛ ПС 35/6- ТП 8</t>
  </si>
  <si>
    <t>Северная 25</t>
  </si>
  <si>
    <t>Северная 20</t>
  </si>
  <si>
    <t>Северная 22</t>
  </si>
  <si>
    <t>Приобретение жилья у застройщика</t>
  </si>
  <si>
    <r>
      <t>Капитальный ремонт центра досуга и народного творчества (450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</si>
  <si>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 xml:space="preserve">Ремонт жилых домов </t>
  </si>
  <si>
    <t xml:space="preserve">Устройство модульного здания ФАП </t>
  </si>
  <si>
    <t>Устройство модульного здания МАУК «Центр досуга и народного творчества городского округа Эгвекинот»  (Сектор культурно-просветительской и досуговой деятельности села Нутэпэльмен)</t>
  </si>
  <si>
    <t>Ремонт жилых домов</t>
  </si>
  <si>
    <t xml:space="preserve">Строительство жилья </t>
  </si>
  <si>
    <t>Устройство модульного морга</t>
  </si>
  <si>
    <t>На компенсацию затрат проезда к месту обучения и обратно обучающимся в общеобразовательных организациях в пределах Чукотского автономного округа</t>
  </si>
  <si>
    <t>На обеспечение безопасности образовательных организаций</t>
  </si>
  <si>
    <t xml:space="preserve">На поддержку кадетского движения в Чукотском автономном округе </t>
  </si>
  <si>
    <t>На поддержку детского и юношеского туризма</t>
  </si>
  <si>
    <t>На поддержку эколого-биологического воспитания обучающихся</t>
  </si>
  <si>
    <t>На оказание единовременной финансовой поддержки Негосударственному благотворительному фонду "Возрождение" из резервного фонда Правительства ЧАО</t>
  </si>
  <si>
    <t>Иные межбюджетные трансферты за достижение показателей деятельности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</si>
  <si>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</si>
  <si>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На финансовую поддержку субъектов предпринимательской деятельности, осуществляющих "северный завоз" потребительских товаров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</si>
</sst>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#,##0.0"/>
    <numFmt numFmtId="166" formatCode="#,##0.000"/>
    <numFmt numFmtId="167" formatCode="0.0"/>
    <numFmt numFmtId="168" formatCode="0.0;[Red]0.0"/>
    <numFmt numFmtId="169" formatCode="0.00;[Red]0.00"/>
    <numFmt numFmtId="170" formatCode="0.0%"/>
    <numFmt numFmtId="171" formatCode="#,##0.00;[Red]#,##0.00"/>
  </numFmts>
  <fonts count="63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i/>
      <sz val="12"/>
      <color indexed="8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10"/>
      <name val="Helv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name val="Calibri"/>
      <family val="2"/>
      <scheme val="minor"/>
    </font>
    <font>
      <sz val="8"/>
      <color rgb="FF000000"/>
      <name val="Cambria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Arial Cyr"/>
      <family val="2"/>
    </font>
    <font>
      <b/>
      <sz val="10"/>
      <color rgb="FF000000"/>
      <name val="Cambria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i/>
      <sz val="10"/>
      <color rgb="FF000000"/>
      <name val="Arial Cyr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sz val="11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2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2"/>
      <charset val="204"/>
    </font>
    <font>
      <sz val="11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rgb="FF00FF00"/>
      </patternFill>
    </fill>
    <fill>
      <patternFill patternType="solid">
        <fgColor rgb="FF00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6">
    <xf numFmtId="0" fontId="0" fillId="0" borderId="0"/>
    <xf numFmtId="0" fontId="19" fillId="0" borderId="0"/>
    <xf numFmtId="0" fontId="19" fillId="0" borderId="0"/>
    <xf numFmtId="1" fontId="20" fillId="0" borderId="18">
      <alignment horizontal="center" vertical="center" wrapText="1" shrinkToFit="1"/>
    </xf>
    <xf numFmtId="0" fontId="21" fillId="0" borderId="0">
      <alignment vertical="center"/>
    </xf>
    <xf numFmtId="0" fontId="22" fillId="0" borderId="0"/>
    <xf numFmtId="0" fontId="21" fillId="0" borderId="0">
      <alignment vertical="center"/>
    </xf>
    <xf numFmtId="0" fontId="22" fillId="0" borderId="0"/>
    <xf numFmtId="0" fontId="19" fillId="0" borderId="0"/>
    <xf numFmtId="0" fontId="23" fillId="2" borderId="0">
      <alignment vertical="center"/>
    </xf>
    <xf numFmtId="0" fontId="22" fillId="2" borderId="0"/>
    <xf numFmtId="0" fontId="24" fillId="0" borderId="0">
      <alignment horizontal="center" vertical="center"/>
    </xf>
    <xf numFmtId="0" fontId="25" fillId="0" borderId="0">
      <alignment horizontal="center" wrapText="1"/>
    </xf>
    <xf numFmtId="0" fontId="26" fillId="0" borderId="0">
      <alignment horizontal="center" vertical="center"/>
    </xf>
    <xf numFmtId="0" fontId="22" fillId="0" borderId="0"/>
    <xf numFmtId="0" fontId="26" fillId="0" borderId="0">
      <alignment vertical="center"/>
    </xf>
    <xf numFmtId="0" fontId="22" fillId="2" borderId="19"/>
    <xf numFmtId="0" fontId="20" fillId="0" borderId="0">
      <alignment horizontal="center" vertical="center"/>
    </xf>
    <xf numFmtId="0" fontId="27" fillId="0" borderId="20">
      <alignment horizontal="center" vertical="center" wrapText="1"/>
    </xf>
    <xf numFmtId="0" fontId="20" fillId="0" borderId="0">
      <alignment vertical="center"/>
    </xf>
    <xf numFmtId="0" fontId="22" fillId="0" borderId="21"/>
    <xf numFmtId="0" fontId="20" fillId="0" borderId="0">
      <alignment horizontal="left" vertical="center" wrapText="1"/>
    </xf>
    <xf numFmtId="0" fontId="22" fillId="2" borderId="22"/>
    <xf numFmtId="0" fontId="24" fillId="0" borderId="0">
      <alignment horizontal="center" vertical="center" wrapText="1"/>
    </xf>
    <xf numFmtId="49" fontId="22" fillId="0" borderId="20">
      <alignment horizontal="left" shrinkToFit="1"/>
    </xf>
    <xf numFmtId="0" fontId="20" fillId="0" borderId="19">
      <alignment vertical="center"/>
    </xf>
    <xf numFmtId="4" fontId="22" fillId="0" borderId="20">
      <alignment horizontal="right" vertical="top" shrinkToFit="1"/>
    </xf>
    <xf numFmtId="0" fontId="20" fillId="0" borderId="20">
      <alignment horizontal="center" vertical="center" wrapText="1"/>
    </xf>
    <xf numFmtId="0" fontId="22" fillId="2" borderId="23"/>
    <xf numFmtId="0" fontId="20" fillId="0" borderId="24">
      <alignment horizontal="center" vertical="center" wrapText="1"/>
    </xf>
    <xf numFmtId="49" fontId="22" fillId="3" borderId="20">
      <alignment horizontal="left" shrinkToFit="1"/>
    </xf>
    <xf numFmtId="0" fontId="23" fillId="2" borderId="25">
      <alignment vertical="center"/>
    </xf>
    <xf numFmtId="4" fontId="22" fillId="4" borderId="20">
      <alignment horizontal="right" vertical="top" shrinkToFit="1"/>
    </xf>
    <xf numFmtId="49" fontId="28" fillId="0" borderId="20">
      <alignment vertical="center" wrapText="1"/>
    </xf>
    <xf numFmtId="0" fontId="27" fillId="5" borderId="20">
      <alignment horizontal="left"/>
    </xf>
    <xf numFmtId="0" fontId="23" fillId="2" borderId="22">
      <alignment vertical="center"/>
    </xf>
    <xf numFmtId="4" fontId="27" fillId="6" borderId="20">
      <alignment horizontal="right" vertical="top" shrinkToFit="1"/>
    </xf>
    <xf numFmtId="49" fontId="29" fillId="0" borderId="26">
      <alignment horizontal="left" vertical="center" wrapText="1" indent="1"/>
    </xf>
    <xf numFmtId="0" fontId="30" fillId="0" borderId="0">
      <alignment wrapText="1"/>
    </xf>
    <xf numFmtId="0" fontId="23" fillId="2" borderId="27">
      <alignment vertical="center"/>
    </xf>
    <xf numFmtId="0" fontId="23" fillId="0" borderId="0">
      <alignment vertical="center"/>
    </xf>
    <xf numFmtId="0" fontId="28" fillId="0" borderId="0">
      <alignment horizontal="left" vertical="center" wrapText="1"/>
    </xf>
    <xf numFmtId="0" fontId="24" fillId="0" borderId="0">
      <alignment vertical="center"/>
    </xf>
    <xf numFmtId="0" fontId="20" fillId="0" borderId="0">
      <alignment vertical="center" wrapText="1"/>
    </xf>
    <xf numFmtId="0" fontId="20" fillId="0" borderId="19">
      <alignment horizontal="left" vertical="center" wrapText="1"/>
    </xf>
    <xf numFmtId="0" fontId="20" fillId="0" borderId="23">
      <alignment horizontal="left" vertical="center" wrapText="1"/>
    </xf>
    <xf numFmtId="0" fontId="20" fillId="0" borderId="22">
      <alignment vertical="center" wrapText="1"/>
    </xf>
    <xf numFmtId="0" fontId="20" fillId="0" borderId="28">
      <alignment horizontal="center" vertical="center" wrapText="1"/>
    </xf>
    <xf numFmtId="1" fontId="28" fillId="0" borderId="20">
      <alignment horizontal="center" vertical="center" shrinkToFit="1"/>
      <protection locked="0"/>
    </xf>
    <xf numFmtId="0" fontId="23" fillId="2" borderId="23">
      <alignment vertical="center"/>
    </xf>
    <xf numFmtId="1" fontId="29" fillId="0" borderId="20">
      <alignment horizontal="center" vertical="center" shrinkToFit="1"/>
    </xf>
    <xf numFmtId="0" fontId="23" fillId="2" borderId="0">
      <alignment vertical="center" shrinkToFit="1"/>
    </xf>
    <xf numFmtId="49" fontId="20" fillId="0" borderId="0">
      <alignment vertical="center" wrapText="1"/>
    </xf>
    <xf numFmtId="49" fontId="20" fillId="0" borderId="22">
      <alignment vertical="center" wrapText="1"/>
    </xf>
    <xf numFmtId="4" fontId="28" fillId="0" borderId="20">
      <alignment horizontal="right" vertical="center" shrinkToFit="1"/>
      <protection locked="0"/>
    </xf>
    <xf numFmtId="4" fontId="29" fillId="0" borderId="20">
      <alignment horizontal="right" vertical="center" shrinkToFit="1"/>
    </xf>
    <xf numFmtId="0" fontId="31" fillId="0" borderId="0">
      <alignment horizontal="center" vertical="center" wrapText="1"/>
    </xf>
    <xf numFmtId="0" fontId="20" fillId="0" borderId="29">
      <alignment vertical="center"/>
    </xf>
    <xf numFmtId="0" fontId="20" fillId="0" borderId="30">
      <alignment horizontal="right" vertical="center"/>
    </xf>
    <xf numFmtId="0" fontId="20" fillId="0" borderId="19">
      <alignment horizontal="right" vertical="center"/>
    </xf>
    <xf numFmtId="0" fontId="20" fillId="0" borderId="28">
      <alignment horizontal="center" vertical="center"/>
    </xf>
    <xf numFmtId="49" fontId="20" fillId="0" borderId="31">
      <alignment horizontal="center" vertical="center"/>
    </xf>
    <xf numFmtId="0" fontId="20" fillId="0" borderId="18">
      <alignment horizontal="center" vertical="center"/>
    </xf>
    <xf numFmtId="1" fontId="20" fillId="0" borderId="18">
      <alignment horizontal="center" vertical="center"/>
    </xf>
    <xf numFmtId="1" fontId="20" fillId="0" borderId="18">
      <alignment horizontal="center" vertical="center" shrinkToFit="1"/>
    </xf>
    <xf numFmtId="49" fontId="20" fillId="0" borderId="18">
      <alignment horizontal="center" vertical="center"/>
    </xf>
    <xf numFmtId="0" fontId="20" fillId="0" borderId="32">
      <alignment horizontal="center" vertical="center"/>
    </xf>
    <xf numFmtId="0" fontId="20" fillId="0" borderId="33">
      <alignment vertical="center"/>
    </xf>
    <xf numFmtId="0" fontId="20" fillId="0" borderId="20">
      <alignment horizontal="center" vertical="center" wrapText="1"/>
    </xf>
    <xf numFmtId="0" fontId="20" fillId="0" borderId="34">
      <alignment horizontal="center" vertical="center" wrapText="1"/>
    </xf>
    <xf numFmtId="0" fontId="32" fillId="0" borderId="19">
      <alignment horizontal="right" vertical="center"/>
    </xf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7" fillId="0" borderId="0"/>
    <xf numFmtId="0" fontId="33" fillId="0" borderId="0"/>
    <xf numFmtId="0" fontId="10" fillId="0" borderId="0"/>
    <xf numFmtId="0" fontId="13" fillId="0" borderId="0"/>
    <xf numFmtId="0" fontId="13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9" fillId="0" borderId="0"/>
    <xf numFmtId="4" fontId="60" fillId="0" borderId="20">
      <alignment horizontal="right" vertical="center" shrinkToFit="1"/>
    </xf>
  </cellStyleXfs>
  <cellXfs count="316">
    <xf numFmtId="0" fontId="0" fillId="0" borderId="0" xfId="0"/>
    <xf numFmtId="0" fontId="18" fillId="0" borderId="0" xfId="87"/>
    <xf numFmtId="0" fontId="1" fillId="0" borderId="2" xfId="88" applyFont="1" applyFill="1" applyBorder="1" applyAlignment="1">
      <alignment vertical="top" wrapText="1"/>
    </xf>
    <xf numFmtId="0" fontId="2" fillId="0" borderId="2" xfId="88" applyFont="1" applyFill="1" applyBorder="1" applyAlignment="1">
      <alignment vertical="top" wrapText="1"/>
    </xf>
    <xf numFmtId="165" fontId="18" fillId="0" borderId="0" xfId="87" applyNumberFormat="1"/>
    <xf numFmtId="0" fontId="2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0" fillId="0" borderId="0" xfId="0" applyFont="1"/>
    <xf numFmtId="0" fontId="2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35" fillId="0" borderId="0" xfId="0" applyFont="1"/>
    <xf numFmtId="49" fontId="5" fillId="0" borderId="2" xfId="0" applyNumberFormat="1" applyFont="1" applyFill="1" applyBorder="1" applyAlignment="1">
      <alignment horizontal="left" wrapText="1"/>
    </xf>
    <xf numFmtId="0" fontId="0" fillId="0" borderId="0" xfId="0"/>
    <xf numFmtId="0" fontId="2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34" fillId="0" borderId="0" xfId="87" applyFont="1"/>
    <xf numFmtId="0" fontId="12" fillId="0" borderId="2" xfId="90" applyFont="1" applyFill="1" applyBorder="1" applyAlignment="1">
      <alignment horizontal="center" vertical="center" wrapText="1"/>
    </xf>
    <xf numFmtId="0" fontId="1" fillId="0" borderId="2" xfId="71" applyFont="1" applyBorder="1" applyAlignment="1">
      <alignment vertical="top" wrapText="1"/>
    </xf>
    <xf numFmtId="165" fontId="18" fillId="0" borderId="0" xfId="87" applyNumberFormat="1" applyFill="1"/>
    <xf numFmtId="0" fontId="38" fillId="0" borderId="0" xfId="0" applyFont="1"/>
    <xf numFmtId="0" fontId="38" fillId="0" borderId="2" xfId="0" applyFont="1" applyBorder="1"/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/>
    <xf numFmtId="0" fontId="38" fillId="0" borderId="2" xfId="0" applyFont="1" applyBorder="1" applyAlignment="1">
      <alignment wrapText="1"/>
    </xf>
    <xf numFmtId="0" fontId="10" fillId="0" borderId="0" xfId="91" applyFont="1" applyFill="1" applyBorder="1" applyAlignment="1" applyProtection="1">
      <alignment vertical="top" wrapText="1"/>
      <protection hidden="1"/>
    </xf>
    <xf numFmtId="0" fontId="10" fillId="0" borderId="0" xfId="91" applyFont="1" applyFill="1" applyProtection="1">
      <protection hidden="1"/>
    </xf>
    <xf numFmtId="0" fontId="14" fillId="0" borderId="0" xfId="91" applyFont="1" applyFill="1" applyBorder="1" applyAlignment="1">
      <alignment wrapText="1"/>
    </xf>
    <xf numFmtId="0" fontId="10" fillId="0" borderId="0" xfId="91" applyFont="1" applyFill="1" applyAlignment="1"/>
    <xf numFmtId="0" fontId="10" fillId="0" borderId="0" xfId="91" applyFont="1" applyFill="1" applyAlignment="1" applyProtection="1">
      <alignment vertical="top" wrapText="1"/>
      <protection hidden="1"/>
    </xf>
    <xf numFmtId="0" fontId="33" fillId="0" borderId="0" xfId="89"/>
    <xf numFmtId="0" fontId="34" fillId="0" borderId="7" xfId="89" applyFont="1" applyBorder="1" applyAlignment="1">
      <alignment horizontal="center" vertical="top" wrapText="1"/>
    </xf>
    <xf numFmtId="0" fontId="34" fillId="0" borderId="8" xfId="89" applyFont="1" applyBorder="1" applyAlignment="1">
      <alignment horizontal="center" vertical="top" wrapText="1"/>
    </xf>
    <xf numFmtId="0" fontId="34" fillId="0" borderId="3" xfId="89" applyFont="1" applyBorder="1" applyAlignment="1">
      <alignment vertical="top" wrapText="1"/>
    </xf>
    <xf numFmtId="0" fontId="39" fillId="0" borderId="2" xfId="89" applyFont="1" applyBorder="1" applyAlignment="1">
      <alignment vertical="top" wrapText="1"/>
    </xf>
    <xf numFmtId="0" fontId="36" fillId="0" borderId="2" xfId="89" applyFont="1" applyBorder="1" applyAlignment="1">
      <alignment vertical="top" wrapText="1"/>
    </xf>
    <xf numFmtId="0" fontId="36" fillId="0" borderId="7" xfId="89" applyFont="1" applyBorder="1" applyAlignment="1">
      <alignment vertical="top" wrapText="1"/>
    </xf>
    <xf numFmtId="0" fontId="36" fillId="0" borderId="11" xfId="89" applyFont="1" applyBorder="1" applyAlignment="1">
      <alignment horizontal="center" vertical="top" wrapText="1"/>
    </xf>
    <xf numFmtId="0" fontId="36" fillId="0" borderId="12" xfId="89" applyFont="1" applyBorder="1" applyAlignment="1">
      <alignment vertical="top" wrapText="1"/>
    </xf>
    <xf numFmtId="0" fontId="36" fillId="0" borderId="12" xfId="89" applyFont="1" applyBorder="1" applyAlignment="1">
      <alignment horizontal="center" vertical="top" wrapText="1"/>
    </xf>
    <xf numFmtId="0" fontId="6" fillId="0" borderId="14" xfId="89" applyFont="1" applyFill="1" applyBorder="1" applyAlignment="1">
      <alignment horizontal="center" wrapText="1"/>
    </xf>
    <xf numFmtId="0" fontId="40" fillId="0" borderId="0" xfId="89" applyFont="1" applyAlignment="1">
      <alignment horizontal="left"/>
    </xf>
    <xf numFmtId="0" fontId="36" fillId="0" borderId="0" xfId="89" applyFont="1" applyAlignment="1">
      <alignment horizontal="center"/>
    </xf>
    <xf numFmtId="0" fontId="38" fillId="0" borderId="2" xfId="89" applyFont="1" applyBorder="1" applyAlignment="1">
      <alignment horizontal="center" vertical="top" wrapText="1"/>
    </xf>
    <xf numFmtId="0" fontId="38" fillId="0" borderId="2" xfId="89" applyFont="1" applyBorder="1" applyAlignment="1">
      <alignment vertical="top" wrapText="1"/>
    </xf>
    <xf numFmtId="0" fontId="38" fillId="0" borderId="2" xfId="89" applyFont="1" applyBorder="1" applyAlignment="1">
      <alignment horizontal="center" vertical="center" wrapText="1"/>
    </xf>
    <xf numFmtId="0" fontId="41" fillId="0" borderId="2" xfId="89" applyFont="1" applyBorder="1" applyAlignment="1">
      <alignment horizontal="left" vertical="top" wrapText="1"/>
    </xf>
    <xf numFmtId="0" fontId="36" fillId="0" borderId="2" xfId="89" applyFont="1" applyFill="1" applyBorder="1" applyAlignment="1">
      <alignment vertical="top" wrapText="1"/>
    </xf>
    <xf numFmtId="0" fontId="34" fillId="0" borderId="2" xfId="89" applyFont="1" applyFill="1" applyBorder="1" applyAlignment="1">
      <alignment vertical="top" wrapText="1"/>
    </xf>
    <xf numFmtId="0" fontId="33" fillId="0" borderId="0" xfId="89" applyFill="1"/>
    <xf numFmtId="0" fontId="36" fillId="0" borderId="0" xfId="89" applyFont="1" applyAlignment="1">
      <alignment vertical="center"/>
    </xf>
    <xf numFmtId="0" fontId="36" fillId="0" borderId="2" xfId="89" applyFont="1" applyFill="1" applyBorder="1" applyAlignment="1">
      <alignment vertical="center" wrapText="1"/>
    </xf>
    <xf numFmtId="0" fontId="42" fillId="0" borderId="2" xfId="89" applyFont="1" applyFill="1" applyBorder="1" applyAlignment="1">
      <alignment horizontal="left" vertical="center" wrapText="1"/>
    </xf>
    <xf numFmtId="0" fontId="36" fillId="0" borderId="2" xfId="0" applyFont="1" applyFill="1" applyBorder="1" applyAlignment="1">
      <alignment wrapText="1"/>
    </xf>
    <xf numFmtId="49" fontId="18" fillId="0" borderId="0" xfId="93" applyNumberFormat="1" applyFont="1" applyFill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165" fontId="1" fillId="0" borderId="0" xfId="98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left" wrapText="1"/>
    </xf>
    <xf numFmtId="49" fontId="8" fillId="0" borderId="2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wrapText="1"/>
    </xf>
    <xf numFmtId="0" fontId="2" fillId="0" borderId="2" xfId="71" applyFont="1" applyFill="1" applyBorder="1" applyAlignment="1">
      <alignment horizontal="left" vertical="top" wrapText="1"/>
    </xf>
    <xf numFmtId="0" fontId="1" fillId="0" borderId="2" xfId="71" applyFont="1" applyFill="1" applyBorder="1" applyAlignment="1">
      <alignment horizontal="left" vertical="top" wrapText="1"/>
    </xf>
    <xf numFmtId="0" fontId="1" fillId="0" borderId="0" xfId="88" applyFont="1" applyFill="1" applyBorder="1" applyAlignment="1">
      <alignment vertical="top" wrapText="1"/>
    </xf>
    <xf numFmtId="0" fontId="18" fillId="0" borderId="0" xfId="87" applyFill="1"/>
    <xf numFmtId="0" fontId="1" fillId="0" borderId="0" xfId="88" applyFont="1" applyFill="1" applyBorder="1" applyAlignment="1">
      <alignment horizontal="right" vertical="top"/>
    </xf>
    <xf numFmtId="0" fontId="2" fillId="0" borderId="2" xfId="88" applyFont="1" applyFill="1" applyBorder="1" applyAlignment="1">
      <alignment horizontal="center" vertical="center" wrapText="1"/>
    </xf>
    <xf numFmtId="0" fontId="34" fillId="0" borderId="2" xfId="87" applyFont="1" applyFill="1" applyBorder="1" applyAlignment="1">
      <alignment horizontal="center" vertical="center" wrapText="1"/>
    </xf>
    <xf numFmtId="0" fontId="2" fillId="0" borderId="2" xfId="88" applyFont="1" applyFill="1" applyBorder="1"/>
    <xf numFmtId="165" fontId="2" fillId="0" borderId="2" xfId="88" applyNumberFormat="1" applyFont="1" applyFill="1" applyBorder="1" applyAlignment="1">
      <alignment horizontal="right" vertical="top" wrapText="1"/>
    </xf>
    <xf numFmtId="0" fontId="36" fillId="0" borderId="2" xfId="87" applyFont="1" applyFill="1" applyBorder="1" applyAlignment="1">
      <alignment wrapText="1"/>
    </xf>
    <xf numFmtId="165" fontId="1" fillId="0" borderId="2" xfId="88" applyNumberFormat="1" applyFont="1" applyFill="1" applyBorder="1" applyAlignment="1">
      <alignment horizontal="right" wrapText="1"/>
    </xf>
    <xf numFmtId="165" fontId="1" fillId="0" borderId="2" xfId="98" applyNumberFormat="1" applyFont="1" applyFill="1" applyBorder="1" applyAlignment="1">
      <alignment horizontal="right"/>
    </xf>
    <xf numFmtId="165" fontId="2" fillId="0" borderId="2" xfId="98" applyNumberFormat="1" applyFont="1" applyFill="1" applyBorder="1" applyAlignment="1">
      <alignment horizontal="right"/>
    </xf>
    <xf numFmtId="165" fontId="5" fillId="0" borderId="2" xfId="98" applyNumberFormat="1" applyFont="1" applyFill="1" applyBorder="1" applyAlignment="1">
      <alignment horizontal="right"/>
    </xf>
    <xf numFmtId="0" fontId="34" fillId="0" borderId="0" xfId="0" applyFont="1" applyFill="1" applyAlignment="1">
      <alignment horizontal="justify" vertical="top" wrapText="1"/>
    </xf>
    <xf numFmtId="165" fontId="6" fillId="0" borderId="2" xfId="98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vertical="top" wrapText="1"/>
    </xf>
    <xf numFmtId="0" fontId="0" fillId="0" borderId="0" xfId="0" applyFill="1"/>
    <xf numFmtId="0" fontId="6" fillId="0" borderId="0" xfId="90" applyFont="1" applyFill="1" applyAlignment="1">
      <alignment horizontal="right"/>
    </xf>
    <xf numFmtId="165" fontId="34" fillId="0" borderId="2" xfId="0" applyNumberFormat="1" applyFont="1" applyFill="1" applyBorder="1"/>
    <xf numFmtId="165" fontId="36" fillId="0" borderId="2" xfId="0" applyNumberFormat="1" applyFont="1" applyFill="1" applyBorder="1"/>
    <xf numFmtId="165" fontId="2" fillId="0" borderId="2" xfId="0" applyNumberFormat="1" applyFont="1" applyFill="1" applyBorder="1"/>
    <xf numFmtId="0" fontId="1" fillId="0" borderId="2" xfId="71" applyFont="1" applyFill="1" applyBorder="1" applyAlignment="1">
      <alignment vertical="top" wrapText="1"/>
    </xf>
    <xf numFmtId="165" fontId="1" fillId="0" borderId="2" xfId="0" applyNumberFormat="1" applyFont="1" applyFill="1" applyBorder="1"/>
    <xf numFmtId="165" fontId="5" fillId="0" borderId="2" xfId="0" applyNumberFormat="1" applyFont="1" applyFill="1" applyBorder="1"/>
    <xf numFmtId="165" fontId="6" fillId="0" borderId="2" xfId="71" applyNumberFormat="1" applyFont="1" applyFill="1" applyBorder="1"/>
    <xf numFmtId="0" fontId="46" fillId="0" borderId="0" xfId="91" applyFont="1" applyFill="1" applyProtection="1">
      <protection hidden="1"/>
    </xf>
    <xf numFmtId="0" fontId="15" fillId="0" borderId="2" xfId="91" applyFont="1" applyFill="1" applyBorder="1" applyAlignment="1" applyProtection="1">
      <alignment horizontal="center" vertical="center" wrapText="1"/>
      <protection hidden="1"/>
    </xf>
    <xf numFmtId="0" fontId="47" fillId="0" borderId="2" xfId="91" applyFont="1" applyFill="1" applyBorder="1" applyAlignment="1" applyProtection="1">
      <alignment horizontal="center" vertical="center" wrapText="1"/>
      <protection hidden="1"/>
    </xf>
    <xf numFmtId="0" fontId="47" fillId="0" borderId="2" xfId="91" applyFont="1" applyFill="1" applyBorder="1" applyAlignment="1" applyProtection="1">
      <alignment horizontal="center"/>
      <protection locked="0" hidden="1"/>
    </xf>
    <xf numFmtId="2" fontId="47" fillId="0" borderId="2" xfId="91" applyNumberFormat="1" applyFont="1" applyFill="1" applyBorder="1" applyAlignment="1" applyProtection="1">
      <alignment horizontal="center"/>
      <protection locked="0" hidden="1"/>
    </xf>
    <xf numFmtId="166" fontId="47" fillId="0" borderId="2" xfId="91" applyNumberFormat="1" applyFont="1" applyFill="1" applyBorder="1" applyAlignment="1" applyProtection="1">
      <alignment horizontal="center"/>
      <protection locked="0" hidden="1"/>
    </xf>
    <xf numFmtId="0" fontId="47" fillId="0" borderId="0" xfId="91" applyFont="1" applyFill="1" applyProtection="1">
      <protection hidden="1"/>
    </xf>
    <xf numFmtId="168" fontId="48" fillId="0" borderId="2" xfId="91" applyNumberFormat="1" applyFont="1" applyFill="1" applyBorder="1" applyAlignment="1" applyProtection="1">
      <alignment horizontal="center" vertical="center"/>
      <protection hidden="1"/>
    </xf>
    <xf numFmtId="0" fontId="50" fillId="0" borderId="2" xfId="91" applyFont="1" applyFill="1" applyBorder="1" applyAlignment="1" applyProtection="1">
      <alignment horizontal="center" vertical="center" wrapText="1"/>
      <protection hidden="1"/>
    </xf>
    <xf numFmtId="167" fontId="50" fillId="0" borderId="2" xfId="91" applyNumberFormat="1" applyFont="1" applyFill="1" applyBorder="1" applyAlignment="1" applyProtection="1">
      <alignment horizontal="center" vertical="center" wrapText="1"/>
      <protection hidden="1"/>
    </xf>
    <xf numFmtId="167" fontId="47" fillId="0" borderId="2" xfId="91" applyNumberFormat="1" applyFont="1" applyFill="1" applyBorder="1" applyAlignment="1" applyProtection="1">
      <alignment horizontal="center" vertical="center" wrapText="1"/>
      <protection hidden="1"/>
    </xf>
    <xf numFmtId="0" fontId="47" fillId="0" borderId="2" xfId="91" applyFont="1" applyFill="1" applyBorder="1" applyAlignment="1" applyProtection="1">
      <alignment horizontal="center" vertical="center" wrapText="1"/>
    </xf>
    <xf numFmtId="0" fontId="50" fillId="0" borderId="2" xfId="91" applyFont="1" applyFill="1" applyBorder="1" applyAlignment="1" applyProtection="1">
      <alignment horizontal="center" vertical="center"/>
      <protection locked="0" hidden="1"/>
    </xf>
    <xf numFmtId="0" fontId="47" fillId="0" borderId="35" xfId="91" applyFont="1" applyFill="1" applyBorder="1" applyAlignment="1" applyProtection="1">
      <alignment horizontal="center" vertical="center" wrapText="1"/>
      <protection hidden="1"/>
    </xf>
    <xf numFmtId="0" fontId="47" fillId="0" borderId="2" xfId="91" applyFont="1" applyFill="1" applyBorder="1" applyAlignment="1" applyProtection="1">
      <alignment horizontal="center"/>
      <protection hidden="1"/>
    </xf>
    <xf numFmtId="165" fontId="5" fillId="0" borderId="3" xfId="89" applyNumberFormat="1" applyFont="1" applyFill="1" applyBorder="1" applyAlignment="1">
      <alignment horizontal="center" wrapText="1"/>
    </xf>
    <xf numFmtId="165" fontId="6" fillId="0" borderId="2" xfId="89" applyNumberFormat="1" applyFont="1" applyFill="1" applyBorder="1" applyAlignment="1">
      <alignment horizontal="center" vertical="top" wrapText="1"/>
    </xf>
    <xf numFmtId="165" fontId="6" fillId="0" borderId="12" xfId="89" applyNumberFormat="1" applyFont="1" applyFill="1" applyBorder="1" applyAlignment="1">
      <alignment horizontal="center" wrapText="1"/>
    </xf>
    <xf numFmtId="165" fontId="6" fillId="0" borderId="13" xfId="89" applyNumberFormat="1" applyFont="1" applyFill="1" applyBorder="1" applyAlignment="1">
      <alignment horizontal="center" wrapText="1"/>
    </xf>
    <xf numFmtId="165" fontId="6" fillId="0" borderId="2" xfId="0" applyNumberFormat="1" applyFont="1" applyFill="1" applyBorder="1" applyAlignment="1">
      <alignment horizontal="right"/>
    </xf>
    <xf numFmtId="0" fontId="11" fillId="0" borderId="2" xfId="0" applyFont="1" applyFill="1" applyBorder="1" applyAlignment="1">
      <alignment horizontal="left" vertical="top" wrapText="1"/>
    </xf>
    <xf numFmtId="49" fontId="11" fillId="0" borderId="2" xfId="0" applyNumberFormat="1" applyFont="1" applyFill="1" applyBorder="1" applyAlignment="1">
      <alignment horizontal="left" wrapText="1"/>
    </xf>
    <xf numFmtId="0" fontId="1" fillId="0" borderId="9" xfId="71" applyFont="1" applyBorder="1" applyAlignment="1">
      <alignment horizontal="left" vertical="top" wrapText="1"/>
    </xf>
    <xf numFmtId="49" fontId="1" fillId="0" borderId="9" xfId="0" applyNumberFormat="1" applyFont="1" applyBorder="1" applyAlignment="1">
      <alignment horizontal="left" wrapText="1"/>
    </xf>
    <xf numFmtId="165" fontId="37" fillId="0" borderId="2" xfId="0" applyNumberFormat="1" applyFont="1" applyBorder="1"/>
    <xf numFmtId="165" fontId="43" fillId="0" borderId="2" xfId="0" applyNumberFormat="1" applyFont="1" applyBorder="1"/>
    <xf numFmtId="165" fontId="54" fillId="0" borderId="2" xfId="0" applyNumberFormat="1" applyFont="1" applyBorder="1"/>
    <xf numFmtId="0" fontId="37" fillId="0" borderId="0" xfId="0" applyFont="1" applyAlignment="1">
      <alignment horizontal="center"/>
    </xf>
    <xf numFmtId="0" fontId="6" fillId="0" borderId="2" xfId="88" applyFont="1" applyFill="1" applyBorder="1" applyAlignment="1">
      <alignment vertical="top" wrapText="1"/>
    </xf>
    <xf numFmtId="0" fontId="5" fillId="0" borderId="2" xfId="88" applyFont="1" applyFill="1" applyBorder="1" applyAlignment="1">
      <alignment vertical="top" wrapText="1"/>
    </xf>
    <xf numFmtId="0" fontId="56" fillId="0" borderId="0" xfId="87" applyFont="1" applyFill="1"/>
    <xf numFmtId="0" fontId="55" fillId="0" borderId="0" xfId="0" applyFont="1" applyFill="1"/>
    <xf numFmtId="0" fontId="56" fillId="0" borderId="0" xfId="87" applyFont="1"/>
    <xf numFmtId="0" fontId="10" fillId="0" borderId="0" xfId="91" applyFont="1" applyFill="1" applyBorder="1" applyProtection="1">
      <protection hidden="1"/>
    </xf>
    <xf numFmtId="4" fontId="6" fillId="0" borderId="12" xfId="89" applyNumberFormat="1" applyFont="1" applyFill="1" applyBorder="1" applyAlignment="1">
      <alignment horizontal="center" wrapText="1"/>
    </xf>
    <xf numFmtId="165" fontId="6" fillId="0" borderId="39" xfId="89" applyNumberFormat="1" applyFont="1" applyFill="1" applyBorder="1" applyAlignment="1">
      <alignment horizontal="center" wrapText="1"/>
    </xf>
    <xf numFmtId="4" fontId="38" fillId="0" borderId="2" xfId="89" applyNumberFormat="1" applyFont="1" applyFill="1" applyBorder="1" applyAlignment="1">
      <alignment horizontal="center" vertical="center" wrapText="1"/>
    </xf>
    <xf numFmtId="4" fontId="41" fillId="0" borderId="2" xfId="89" applyNumberFormat="1" applyFont="1" applyFill="1" applyBorder="1" applyAlignment="1">
      <alignment horizontal="center" vertical="top" wrapText="1"/>
    </xf>
    <xf numFmtId="4" fontId="33" fillId="0" borderId="0" xfId="89" applyNumberFormat="1"/>
    <xf numFmtId="0" fontId="36" fillId="0" borderId="2" xfId="89" applyFont="1" applyFill="1" applyBorder="1" applyAlignment="1">
      <alignment horizontal="center" vertical="center" wrapText="1"/>
    </xf>
    <xf numFmtId="3" fontId="42" fillId="0" borderId="2" xfId="89" applyNumberFormat="1" applyFont="1" applyFill="1" applyBorder="1" applyAlignment="1">
      <alignment horizontal="center" vertical="center" wrapText="1"/>
    </xf>
    <xf numFmtId="165" fontId="42" fillId="0" borderId="2" xfId="89" applyNumberFormat="1" applyFont="1" applyFill="1" applyBorder="1" applyAlignment="1">
      <alignment horizontal="center" vertical="center" wrapText="1"/>
    </xf>
    <xf numFmtId="3" fontId="57" fillId="0" borderId="2" xfId="89" applyNumberFormat="1" applyFont="1" applyFill="1" applyBorder="1" applyAlignment="1">
      <alignment horizontal="center" vertical="center" wrapText="1"/>
    </xf>
    <xf numFmtId="165" fontId="57" fillId="0" borderId="2" xfId="89" applyNumberFormat="1" applyFont="1" applyFill="1" applyBorder="1" applyAlignment="1">
      <alignment horizontal="center" vertical="center" wrapText="1"/>
    </xf>
    <xf numFmtId="0" fontId="5" fillId="0" borderId="2" xfId="71" applyFont="1" applyFill="1" applyBorder="1" applyAlignment="1">
      <alignment horizontal="left" vertical="top" wrapText="1"/>
    </xf>
    <xf numFmtId="4" fontId="50" fillId="0" borderId="2" xfId="91" applyNumberFormat="1" applyFont="1" applyFill="1" applyBorder="1" applyAlignment="1" applyProtection="1">
      <alignment horizontal="center"/>
      <protection hidden="1"/>
    </xf>
    <xf numFmtId="167" fontId="48" fillId="0" borderId="2" xfId="91" applyNumberFormat="1" applyFont="1" applyFill="1" applyBorder="1" applyAlignment="1" applyProtection="1">
      <alignment horizontal="center" vertical="center"/>
      <protection hidden="1"/>
    </xf>
    <xf numFmtId="169" fontId="50" fillId="0" borderId="2" xfId="91" applyNumberFormat="1" applyFont="1" applyFill="1" applyBorder="1" applyAlignment="1" applyProtection="1">
      <alignment horizontal="center"/>
      <protection hidden="1"/>
    </xf>
    <xf numFmtId="169" fontId="48" fillId="0" borderId="2" xfId="91" applyNumberFormat="1" applyFont="1" applyFill="1" applyBorder="1" applyAlignment="1" applyProtection="1">
      <alignment horizontal="center"/>
      <protection hidden="1"/>
    </xf>
    <xf numFmtId="4" fontId="48" fillId="0" borderId="2" xfId="91" applyNumberFormat="1" applyFont="1" applyFill="1" applyBorder="1" applyAlignment="1" applyProtection="1">
      <alignment horizontal="center" vertical="center"/>
      <protection hidden="1"/>
    </xf>
    <xf numFmtId="165" fontId="50" fillId="0" borderId="2" xfId="91" applyNumberFormat="1" applyFont="1" applyFill="1" applyBorder="1" applyAlignment="1" applyProtection="1">
      <alignment horizontal="center"/>
      <protection locked="0" hidden="1"/>
    </xf>
    <xf numFmtId="165" fontId="47" fillId="0" borderId="2" xfId="91" applyNumberFormat="1" applyFont="1" applyFill="1" applyBorder="1" applyAlignment="1" applyProtection="1">
      <alignment horizontal="center"/>
      <protection locked="0" hidden="1"/>
    </xf>
    <xf numFmtId="2" fontId="50" fillId="0" borderId="2" xfId="91" applyNumberFormat="1" applyFont="1" applyFill="1" applyBorder="1" applyAlignment="1" applyProtection="1">
      <alignment horizontal="center"/>
      <protection hidden="1"/>
    </xf>
    <xf numFmtId="169" fontId="48" fillId="0" borderId="2" xfId="91" applyNumberFormat="1" applyFont="1" applyFill="1" applyBorder="1" applyAlignment="1" applyProtection="1">
      <alignment horizontal="center" vertical="center"/>
      <protection hidden="1"/>
    </xf>
    <xf numFmtId="2" fontId="48" fillId="0" borderId="2" xfId="91" applyNumberFormat="1" applyFont="1" applyFill="1" applyBorder="1" applyAlignment="1" applyProtection="1">
      <alignment horizontal="center" vertical="center"/>
      <protection locked="0" hidden="1"/>
    </xf>
    <xf numFmtId="2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169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169" fontId="50" fillId="0" borderId="2" xfId="91" applyNumberFormat="1" applyFont="1" applyFill="1" applyBorder="1" applyAlignment="1" applyProtection="1">
      <alignment horizontal="center"/>
      <protection locked="0" hidden="1"/>
    </xf>
    <xf numFmtId="169" fontId="47" fillId="0" borderId="2" xfId="91" applyNumberFormat="1" applyFont="1" applyFill="1" applyBorder="1" applyAlignment="1" applyProtection="1">
      <alignment horizontal="center" vertical="center"/>
      <protection hidden="1"/>
    </xf>
    <xf numFmtId="2" fontId="47" fillId="0" borderId="2" xfId="91" applyNumberFormat="1" applyFont="1" applyFill="1" applyBorder="1" applyAlignment="1" applyProtection="1">
      <alignment horizontal="center" vertical="center"/>
      <protection hidden="1"/>
    </xf>
    <xf numFmtId="169" fontId="47" fillId="0" borderId="2" xfId="91" applyNumberFormat="1" applyFont="1" applyFill="1" applyBorder="1" applyAlignment="1" applyProtection="1">
      <alignment horizontal="center"/>
      <protection locked="0" hidden="1"/>
    </xf>
    <xf numFmtId="0" fontId="47" fillId="0" borderId="2" xfId="91" applyFont="1" applyFill="1" applyBorder="1" applyAlignment="1" applyProtection="1">
      <alignment horizontal="center" vertical="center"/>
      <protection locked="0" hidden="1"/>
    </xf>
    <xf numFmtId="1" fontId="50" fillId="0" borderId="2" xfId="91" applyNumberFormat="1" applyFont="1" applyFill="1" applyBorder="1" applyAlignment="1" applyProtection="1">
      <alignment horizontal="center" vertical="center"/>
      <protection locked="0" hidden="1"/>
    </xf>
    <xf numFmtId="165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165" fontId="47" fillId="0" borderId="2" xfId="91" applyNumberFormat="1" applyFont="1" applyFill="1" applyBorder="1" applyAlignment="1">
      <alignment horizontal="center" vertical="center"/>
    </xf>
    <xf numFmtId="167" fontId="47" fillId="0" borderId="2" xfId="91" applyNumberFormat="1" applyFont="1" applyFill="1" applyBorder="1" applyAlignment="1" applyProtection="1">
      <alignment horizontal="center"/>
      <protection locked="0" hidden="1"/>
    </xf>
    <xf numFmtId="0" fontId="50" fillId="0" borderId="2" xfId="91" applyFont="1" applyFill="1" applyBorder="1" applyAlignment="1" applyProtection="1">
      <alignment horizontal="center"/>
      <protection locked="0" hidden="1"/>
    </xf>
    <xf numFmtId="165" fontId="50" fillId="0" borderId="2" xfId="91" applyNumberFormat="1" applyFont="1" applyFill="1" applyBorder="1" applyAlignment="1" applyProtection="1">
      <alignment horizontal="center" vertical="top" wrapText="1"/>
      <protection hidden="1"/>
    </xf>
    <xf numFmtId="165" fontId="47" fillId="0" borderId="2" xfId="91" applyNumberFormat="1" applyFont="1" applyFill="1" applyBorder="1" applyAlignment="1" applyProtection="1">
      <alignment horizontal="center"/>
      <protection hidden="1"/>
    </xf>
    <xf numFmtId="4" fontId="50" fillId="0" borderId="2" xfId="91" applyNumberFormat="1" applyFont="1" applyFill="1" applyBorder="1" applyAlignment="1" applyProtection="1">
      <alignment horizontal="center"/>
      <protection locked="0" hidden="1"/>
    </xf>
    <xf numFmtId="4" fontId="47" fillId="0" borderId="2" xfId="91" applyNumberFormat="1" applyFont="1" applyFill="1" applyBorder="1" applyAlignment="1" applyProtection="1">
      <alignment horizontal="center"/>
      <protection locked="0" hidden="1"/>
    </xf>
    <xf numFmtId="1" fontId="47" fillId="0" borderId="2" xfId="91" applyNumberFormat="1" applyFont="1" applyFill="1" applyBorder="1" applyAlignment="1" applyProtection="1">
      <alignment horizontal="center"/>
      <protection locked="0" hidden="1"/>
    </xf>
    <xf numFmtId="3" fontId="47" fillId="0" borderId="2" xfId="91" applyNumberFormat="1" applyFont="1" applyFill="1" applyBorder="1" applyAlignment="1" applyProtection="1">
      <alignment horizontal="center" vertical="center"/>
      <protection locked="0"/>
    </xf>
    <xf numFmtId="170" fontId="48" fillId="0" borderId="2" xfId="91" applyNumberFormat="1" applyFont="1" applyFill="1" applyBorder="1" applyAlignment="1" applyProtection="1">
      <alignment horizontal="center" vertical="center"/>
      <protection locked="0" hidden="1"/>
    </xf>
    <xf numFmtId="49" fontId="47" fillId="0" borderId="2" xfId="91" applyNumberFormat="1" applyFont="1" applyFill="1" applyBorder="1" applyAlignment="1" applyProtection="1">
      <alignment horizontal="center"/>
      <protection locked="0" hidden="1"/>
    </xf>
    <xf numFmtId="1" fontId="37" fillId="0" borderId="2" xfId="91" applyNumberFormat="1" applyFont="1" applyFill="1" applyBorder="1" applyAlignment="1" applyProtection="1">
      <alignment horizontal="center"/>
      <protection locked="0" hidden="1"/>
    </xf>
    <xf numFmtId="3" fontId="37" fillId="0" borderId="2" xfId="91" applyNumberFormat="1" applyFont="1" applyFill="1" applyBorder="1" applyAlignment="1" applyProtection="1">
      <alignment horizontal="center" vertical="center"/>
      <protection locked="0" hidden="1"/>
    </xf>
    <xf numFmtId="1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49" fontId="48" fillId="0" borderId="2" xfId="91" applyNumberFormat="1" applyFont="1" applyFill="1" applyBorder="1" applyAlignment="1" applyProtection="1">
      <alignment horizontal="center" vertical="center"/>
      <protection locked="0" hidden="1"/>
    </xf>
    <xf numFmtId="168" fontId="47" fillId="0" borderId="2" xfId="91" applyNumberFormat="1" applyFont="1" applyFill="1" applyBorder="1" applyAlignment="1" applyProtection="1">
      <alignment horizontal="center"/>
      <protection locked="0" hidden="1"/>
    </xf>
    <xf numFmtId="165" fontId="47" fillId="0" borderId="2" xfId="91" applyNumberFormat="1" applyFont="1" applyFill="1" applyBorder="1" applyAlignment="1">
      <alignment horizontal="center" vertical="top" wrapText="1"/>
    </xf>
    <xf numFmtId="168" fontId="47" fillId="0" borderId="2" xfId="91" applyNumberFormat="1" applyFont="1" applyFill="1" applyBorder="1" applyAlignment="1" applyProtection="1">
      <alignment horizontal="center"/>
      <protection hidden="1"/>
    </xf>
    <xf numFmtId="171" fontId="47" fillId="0" borderId="2" xfId="91" applyNumberFormat="1" applyFont="1" applyFill="1" applyBorder="1" applyAlignment="1" applyProtection="1">
      <alignment horizontal="center"/>
      <protection locked="0" hidden="1"/>
    </xf>
    <xf numFmtId="0" fontId="47" fillId="0" borderId="35" xfId="91" applyFont="1" applyFill="1" applyBorder="1" applyAlignment="1" applyProtection="1">
      <alignment horizontal="center"/>
      <protection hidden="1"/>
    </xf>
    <xf numFmtId="0" fontId="18" fillId="0" borderId="2" xfId="89" applyFont="1" applyFill="1" applyBorder="1" applyAlignment="1">
      <alignment horizontal="left" vertical="center" wrapText="1"/>
    </xf>
    <xf numFmtId="0" fontId="18" fillId="0" borderId="2" xfId="89" applyFont="1" applyFill="1" applyBorder="1" applyAlignment="1">
      <alignment horizontal="left" vertical="center"/>
    </xf>
    <xf numFmtId="0" fontId="33" fillId="0" borderId="2" xfId="89" applyFill="1" applyBorder="1" applyAlignment="1">
      <alignment horizontal="left" vertical="center"/>
    </xf>
    <xf numFmtId="0" fontId="18" fillId="0" borderId="2" xfId="89" applyFont="1" applyFill="1" applyBorder="1" applyAlignment="1">
      <alignment horizontal="center" vertical="center" wrapText="1"/>
    </xf>
    <xf numFmtId="165" fontId="58" fillId="0" borderId="2" xfId="93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 wrapText="1"/>
    </xf>
    <xf numFmtId="0" fontId="15" fillId="0" borderId="2" xfId="91" applyFont="1" applyFill="1" applyBorder="1" applyAlignment="1" applyProtection="1">
      <alignment horizontal="center" vertical="center"/>
      <protection hidden="1"/>
    </xf>
    <xf numFmtId="0" fontId="49" fillId="0" borderId="2" xfId="91" applyFont="1" applyFill="1" applyBorder="1" applyAlignment="1" applyProtection="1">
      <alignment horizontal="left" vertical="top" wrapText="1"/>
      <protection hidden="1"/>
    </xf>
    <xf numFmtId="0" fontId="37" fillId="0" borderId="2" xfId="89" applyFont="1" applyFill="1" applyBorder="1" applyAlignment="1">
      <alignment horizontal="center" vertical="top" wrapText="1"/>
    </xf>
    <xf numFmtId="0" fontId="37" fillId="0" borderId="2" xfId="89" applyFont="1" applyFill="1" applyBorder="1" applyAlignment="1">
      <alignment horizontal="center" vertical="center" wrapText="1"/>
    </xf>
    <xf numFmtId="0" fontId="42" fillId="0" borderId="2" xfId="89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top" wrapText="1"/>
    </xf>
    <xf numFmtId="165" fontId="6" fillId="0" borderId="2" xfId="98" applyNumberFormat="1" applyFont="1" applyFill="1" applyBorder="1" applyAlignment="1">
      <alignment horizontal="center" vertical="center"/>
    </xf>
    <xf numFmtId="0" fontId="1" fillId="0" borderId="1" xfId="88" applyFont="1" applyFill="1" applyBorder="1" applyAlignment="1">
      <alignment vertical="top" wrapText="1"/>
    </xf>
    <xf numFmtId="0" fontId="1" fillId="0" borderId="2" xfId="88" applyFont="1" applyFill="1" applyBorder="1" applyAlignment="1">
      <alignment horizontal="center" vertical="center" wrapText="1"/>
    </xf>
    <xf numFmtId="0" fontId="1" fillId="0" borderId="2" xfId="88" applyFont="1" applyFill="1" applyBorder="1"/>
    <xf numFmtId="0" fontId="1" fillId="0" borderId="2" xfId="88" applyFont="1" applyFill="1" applyBorder="1" applyAlignment="1">
      <alignment horizontal="left" vertical="top" wrapText="1"/>
    </xf>
    <xf numFmtId="165" fontId="5" fillId="0" borderId="0" xfId="87" applyNumberFormat="1" applyFont="1" applyFill="1"/>
    <xf numFmtId="0" fontId="5" fillId="0" borderId="0" xfId="87" applyFont="1" applyFill="1"/>
    <xf numFmtId="0" fontId="7" fillId="0" borderId="0" xfId="87" applyFont="1" applyFill="1"/>
    <xf numFmtId="0" fontId="18" fillId="0" borderId="0" xfId="87" applyFill="1" applyBorder="1"/>
    <xf numFmtId="0" fontId="34" fillId="0" borderId="0" xfId="0" applyFont="1" applyFill="1" applyAlignment="1">
      <alignment wrapText="1"/>
    </xf>
    <xf numFmtId="0" fontId="2" fillId="0" borderId="2" xfId="0" applyFont="1" applyFill="1" applyBorder="1" applyAlignment="1">
      <alignment vertical="top"/>
    </xf>
    <xf numFmtId="0" fontId="9" fillId="0" borderId="0" xfId="90" applyFont="1" applyFill="1" applyAlignment="1">
      <alignment wrapText="1"/>
    </xf>
    <xf numFmtId="49" fontId="35" fillId="0" borderId="0" xfId="0" applyNumberFormat="1" applyFont="1" applyFill="1"/>
    <xf numFmtId="49" fontId="0" fillId="0" borderId="0" xfId="0" applyNumberFormat="1" applyFill="1"/>
    <xf numFmtId="0" fontId="47" fillId="0" borderId="2" xfId="91" applyFont="1" applyFill="1" applyBorder="1" applyAlignment="1" applyProtection="1">
      <alignment horizontal="left" vertical="top" wrapText="1"/>
      <protection hidden="1"/>
    </xf>
    <xf numFmtId="0" fontId="47" fillId="0" borderId="2" xfId="91" applyFont="1" applyFill="1" applyBorder="1" applyAlignment="1" applyProtection="1">
      <alignment horizontal="left" vertical="center" wrapText="1"/>
      <protection hidden="1"/>
    </xf>
    <xf numFmtId="2" fontId="48" fillId="0" borderId="2" xfId="91" applyNumberFormat="1" applyFont="1" applyFill="1" applyBorder="1" applyAlignment="1" applyProtection="1">
      <alignment horizontal="center" vertical="center"/>
      <protection hidden="1"/>
    </xf>
    <xf numFmtId="167" fontId="47" fillId="0" borderId="2" xfId="91" applyNumberFormat="1" applyFont="1" applyFill="1" applyBorder="1" applyAlignment="1" applyProtection="1">
      <alignment horizontal="left" vertical="top" wrapText="1"/>
      <protection hidden="1"/>
    </xf>
    <xf numFmtId="167" fontId="47" fillId="0" borderId="2" xfId="91" applyNumberFormat="1" applyFont="1" applyFill="1" applyBorder="1" applyAlignment="1" applyProtection="1">
      <alignment vertical="top" wrapText="1"/>
      <protection hidden="1"/>
    </xf>
    <xf numFmtId="0" fontId="47" fillId="0" borderId="2" xfId="91" applyFont="1" applyFill="1" applyBorder="1" applyAlignment="1" applyProtection="1">
      <alignment horizontal="left" vertical="top" wrapText="1"/>
    </xf>
    <xf numFmtId="0" fontId="47" fillId="0" borderId="2" xfId="91" applyFont="1" applyFill="1" applyBorder="1" applyAlignment="1" applyProtection="1">
      <alignment horizontal="left" vertical="center" wrapText="1"/>
    </xf>
    <xf numFmtId="0" fontId="50" fillId="0" borderId="2" xfId="91" applyFont="1" applyFill="1" applyBorder="1" applyAlignment="1" applyProtection="1">
      <alignment horizontal="left" vertical="top" wrapText="1"/>
      <protection hidden="1"/>
    </xf>
    <xf numFmtId="0" fontId="46" fillId="0" borderId="2" xfId="91" applyFont="1" applyFill="1" applyBorder="1" applyProtection="1">
      <protection hidden="1"/>
    </xf>
    <xf numFmtId="0" fontId="49" fillId="0" borderId="15" xfId="91" applyFont="1" applyFill="1" applyBorder="1" applyAlignment="1" applyProtection="1">
      <alignment vertical="top" wrapText="1"/>
      <protection hidden="1"/>
    </xf>
    <xf numFmtId="0" fontId="47" fillId="0" borderId="2" xfId="91" applyFont="1" applyFill="1" applyBorder="1" applyAlignment="1" applyProtection="1">
      <alignment horizontal="left" vertical="top"/>
      <protection hidden="1"/>
    </xf>
    <xf numFmtId="0" fontId="47" fillId="0" borderId="2" xfId="91" applyFont="1" applyFill="1" applyBorder="1" applyAlignment="1" applyProtection="1">
      <alignment vertical="top" wrapText="1"/>
      <protection hidden="1"/>
    </xf>
    <xf numFmtId="0" fontId="47" fillId="0" borderId="35" xfId="91" applyFont="1" applyFill="1" applyBorder="1" applyAlignment="1" applyProtection="1">
      <alignment horizontal="left" vertical="top" wrapText="1"/>
      <protection hidden="1"/>
    </xf>
    <xf numFmtId="0" fontId="47" fillId="7" borderId="35" xfId="91" applyFont="1" applyFill="1" applyBorder="1" applyAlignment="1" applyProtection="1">
      <alignment horizontal="center"/>
      <protection hidden="1"/>
    </xf>
    <xf numFmtId="165" fontId="5" fillId="0" borderId="3" xfId="89" applyNumberFormat="1" applyFont="1" applyFill="1" applyBorder="1" applyAlignment="1">
      <alignment horizontal="center" vertical="center" wrapText="1"/>
    </xf>
    <xf numFmtId="165" fontId="5" fillId="0" borderId="10" xfId="89" applyNumberFormat="1" applyFont="1" applyFill="1" applyBorder="1" applyAlignment="1">
      <alignment horizontal="center" vertical="center" wrapText="1"/>
    </xf>
    <xf numFmtId="165" fontId="36" fillId="0" borderId="2" xfId="89" applyNumberFormat="1" applyFont="1" applyFill="1" applyBorder="1" applyAlignment="1">
      <alignment horizontal="center" vertical="center" wrapText="1"/>
    </xf>
    <xf numFmtId="165" fontId="6" fillId="0" borderId="2" xfId="89" applyNumberFormat="1" applyFont="1" applyFill="1" applyBorder="1" applyAlignment="1">
      <alignment horizontal="right" vertical="top" wrapText="1"/>
    </xf>
    <xf numFmtId="165" fontId="6" fillId="0" borderId="4" xfId="89" applyNumberFormat="1" applyFont="1" applyFill="1" applyBorder="1" applyAlignment="1">
      <alignment horizontal="right" vertical="top" wrapText="1"/>
    </xf>
    <xf numFmtId="165" fontId="6" fillId="0" borderId="2" xfId="89" applyNumberFormat="1" applyFont="1" applyFill="1" applyBorder="1" applyAlignment="1">
      <alignment horizontal="center" wrapText="1"/>
    </xf>
    <xf numFmtId="165" fontId="6" fillId="0" borderId="15" xfId="89" applyNumberFormat="1" applyFont="1" applyFill="1" applyBorder="1" applyAlignment="1">
      <alignment horizontal="center" wrapText="1"/>
    </xf>
    <xf numFmtId="165" fontId="6" fillId="0" borderId="4" xfId="89" applyNumberFormat="1" applyFont="1" applyFill="1" applyBorder="1" applyAlignment="1">
      <alignment horizontal="center" wrapText="1"/>
    </xf>
    <xf numFmtId="165" fontId="6" fillId="0" borderId="7" xfId="89" applyNumberFormat="1" applyFont="1" applyFill="1" applyBorder="1" applyAlignment="1">
      <alignment horizontal="center" wrapText="1"/>
    </xf>
    <xf numFmtId="165" fontId="6" fillId="0" borderId="38" xfId="89" applyNumberFormat="1" applyFont="1" applyFill="1" applyBorder="1" applyAlignment="1">
      <alignment horizontal="center" wrapText="1"/>
    </xf>
    <xf numFmtId="165" fontId="6" fillId="0" borderId="8" xfId="89" applyNumberFormat="1" applyFont="1" applyFill="1" applyBorder="1" applyAlignment="1">
      <alignment horizontal="center" wrapText="1"/>
    </xf>
    <xf numFmtId="165" fontId="5" fillId="0" borderId="10" xfId="89" applyNumberFormat="1" applyFont="1" applyFill="1" applyBorder="1" applyAlignment="1">
      <alignment horizontal="center" wrapText="1"/>
    </xf>
    <xf numFmtId="165" fontId="6" fillId="0" borderId="15" xfId="89" applyNumberFormat="1" applyFont="1" applyFill="1" applyBorder="1" applyAlignment="1">
      <alignment horizontal="center" vertical="top" wrapText="1"/>
    </xf>
    <xf numFmtId="165" fontId="6" fillId="0" borderId="4" xfId="89" applyNumberFormat="1" applyFont="1" applyFill="1" applyBorder="1" applyAlignment="1">
      <alignment horizontal="center" vertical="top" wrapText="1"/>
    </xf>
    <xf numFmtId="0" fontId="42" fillId="0" borderId="2" xfId="89" applyFont="1" applyBorder="1" applyAlignment="1">
      <alignment horizontal="center" vertical="center" wrapText="1"/>
    </xf>
    <xf numFmtId="0" fontId="18" fillId="0" borderId="2" xfId="89" applyFont="1" applyBorder="1" applyAlignment="1">
      <alignment horizontal="center" vertical="center"/>
    </xf>
    <xf numFmtId="0" fontId="18" fillId="0" borderId="2" xfId="89" applyFont="1" applyBorder="1" applyAlignment="1">
      <alignment horizontal="left" vertical="center" wrapText="1"/>
    </xf>
    <xf numFmtId="0" fontId="18" fillId="0" borderId="2" xfId="89" applyFont="1" applyBorder="1" applyAlignment="1">
      <alignment horizontal="left" vertical="center"/>
    </xf>
    <xf numFmtId="0" fontId="42" fillId="8" borderId="2" xfId="89" applyFont="1" applyFill="1" applyBorder="1" applyAlignment="1">
      <alignment horizontal="left" vertical="center" wrapText="1"/>
    </xf>
    <xf numFmtId="9" fontId="18" fillId="0" borderId="2" xfId="89" applyNumberFormat="1" applyFont="1" applyBorder="1" applyAlignment="1">
      <alignment horizontal="left" vertical="center"/>
    </xf>
    <xf numFmtId="0" fontId="42" fillId="9" borderId="2" xfId="89" applyFont="1" applyFill="1" applyBorder="1" applyAlignment="1">
      <alignment horizontal="center" vertical="center" wrapText="1"/>
    </xf>
    <xf numFmtId="0" fontId="36" fillId="9" borderId="2" xfId="89" applyFont="1" applyFill="1" applyBorder="1" applyAlignment="1">
      <alignment vertical="center" wrapText="1"/>
    </xf>
    <xf numFmtId="0" fontId="36" fillId="9" borderId="0" xfId="89" applyFont="1" applyFill="1"/>
    <xf numFmtId="0" fontId="18" fillId="0" borderId="2" xfId="89" applyFont="1" applyBorder="1" applyAlignment="1">
      <alignment horizontal="center" vertical="center" wrapText="1"/>
    </xf>
    <xf numFmtId="0" fontId="42" fillId="9" borderId="2" xfId="89" applyFont="1" applyFill="1" applyBorder="1" applyAlignment="1">
      <alignment horizontal="left" vertical="center" wrapText="1"/>
    </xf>
    <xf numFmtId="0" fontId="18" fillId="0" borderId="40" xfId="89" applyFont="1" applyFill="1" applyBorder="1" applyAlignment="1">
      <alignment horizontal="left" vertical="center" wrapText="1"/>
    </xf>
    <xf numFmtId="0" fontId="33" fillId="0" borderId="0" xfId="89" applyAlignment="1">
      <alignment horizontal="left" vertical="center" wrapText="1"/>
    </xf>
    <xf numFmtId="0" fontId="33" fillId="0" borderId="2" xfId="89" applyBorder="1" applyAlignment="1">
      <alignment horizontal="center" wrapText="1"/>
    </xf>
    <xf numFmtId="0" fontId="33" fillId="0" borderId="0" xfId="89" applyAlignment="1">
      <alignment horizontal="left" vertical="center"/>
    </xf>
    <xf numFmtId="0" fontId="36" fillId="9" borderId="2" xfId="89" applyFont="1" applyFill="1" applyBorder="1" applyAlignment="1">
      <alignment horizontal="left" vertical="center" wrapText="1" indent="1"/>
    </xf>
    <xf numFmtId="0" fontId="33" fillId="0" borderId="2" xfId="89" applyBorder="1"/>
    <xf numFmtId="0" fontId="6" fillId="9" borderId="2" xfId="89" applyFont="1" applyFill="1" applyBorder="1" applyAlignment="1">
      <alignment horizontal="left" vertical="center" wrapText="1"/>
    </xf>
    <xf numFmtId="0" fontId="6" fillId="0" borderId="2" xfId="89" applyFont="1" applyBorder="1" applyAlignment="1">
      <alignment horizontal="left" vertical="center" wrapText="1"/>
    </xf>
    <xf numFmtId="0" fontId="61" fillId="0" borderId="2" xfId="89" applyFont="1" applyBorder="1"/>
    <xf numFmtId="0" fontId="62" fillId="0" borderId="2" xfId="89" applyFont="1" applyBorder="1" applyAlignment="1">
      <alignment horizontal="left" vertical="center" wrapText="1"/>
    </xf>
    <xf numFmtId="0" fontId="6" fillId="9" borderId="2" xfId="89" applyFont="1" applyFill="1" applyBorder="1"/>
    <xf numFmtId="0" fontId="6" fillId="0" borderId="2" xfId="89" applyFont="1" applyBorder="1" applyAlignment="1">
      <alignment horizontal="center" vertical="center" wrapText="1"/>
    </xf>
    <xf numFmtId="0" fontId="62" fillId="0" borderId="2" xfId="89" applyFont="1" applyBorder="1" applyAlignment="1">
      <alignment horizontal="left" vertical="center"/>
    </xf>
    <xf numFmtId="0" fontId="36" fillId="9" borderId="2" xfId="89" applyFont="1" applyFill="1" applyBorder="1"/>
    <xf numFmtId="0" fontId="33" fillId="0" borderId="2" xfId="89" applyBorder="1" applyAlignment="1">
      <alignment horizontal="center" vertical="center"/>
    </xf>
    <xf numFmtId="165" fontId="43" fillId="0" borderId="2" xfId="0" applyNumberFormat="1" applyFont="1" applyFill="1" applyBorder="1"/>
    <xf numFmtId="165" fontId="54" fillId="0" borderId="2" xfId="0" applyNumberFormat="1" applyFont="1" applyFill="1" applyBorder="1"/>
    <xf numFmtId="165" fontId="37" fillId="0" borderId="2" xfId="0" applyNumberFormat="1" applyFont="1" applyFill="1" applyBorder="1"/>
    <xf numFmtId="0" fontId="40" fillId="0" borderId="0" xfId="0" applyFont="1" applyAlignment="1">
      <alignment horizontal="center"/>
    </xf>
    <xf numFmtId="0" fontId="38" fillId="0" borderId="2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9" xfId="0" applyFont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" fillId="0" borderId="0" xfId="88" applyFont="1" applyFill="1" applyBorder="1" applyAlignment="1">
      <alignment horizontal="center" vertical="center" wrapText="1"/>
    </xf>
    <xf numFmtId="0" fontId="9" fillId="0" borderId="0" xfId="90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5" fillId="0" borderId="2" xfId="91" applyFont="1" applyFill="1" applyBorder="1" applyAlignment="1" applyProtection="1">
      <alignment horizontal="left" vertical="top" wrapText="1"/>
      <protection hidden="1"/>
    </xf>
    <xf numFmtId="0" fontId="46" fillId="0" borderId="2" xfId="91" applyFont="1" applyFill="1" applyBorder="1" applyAlignment="1"/>
    <xf numFmtId="0" fontId="49" fillId="0" borderId="2" xfId="91" applyFont="1" applyFill="1" applyBorder="1" applyAlignment="1" applyProtection="1">
      <alignment horizontal="left" vertical="top" wrapText="1"/>
      <protection hidden="1"/>
    </xf>
    <xf numFmtId="0" fontId="47" fillId="0" borderId="2" xfId="91" applyFont="1" applyFill="1" applyBorder="1" applyAlignment="1"/>
    <xf numFmtId="0" fontId="51" fillId="0" borderId="2" xfId="91" applyFont="1" applyFill="1" applyBorder="1" applyAlignment="1" applyProtection="1">
      <alignment horizontal="left" vertical="top" wrapText="1"/>
      <protection hidden="1"/>
    </xf>
    <xf numFmtId="0" fontId="52" fillId="0" borderId="2" xfId="91" applyFont="1" applyFill="1" applyBorder="1" applyAlignment="1"/>
    <xf numFmtId="0" fontId="47" fillId="0" borderId="15" xfId="91" applyFont="1" applyFill="1" applyBorder="1" applyAlignment="1" applyProtection="1">
      <alignment horizontal="left" vertical="center" wrapText="1"/>
      <protection hidden="1"/>
    </xf>
    <xf numFmtId="0" fontId="47" fillId="0" borderId="16" xfId="91" applyFont="1" applyFill="1" applyBorder="1" applyAlignment="1" applyProtection="1">
      <alignment horizontal="left" vertical="center" wrapText="1"/>
      <protection hidden="1"/>
    </xf>
    <xf numFmtId="0" fontId="47" fillId="0" borderId="2" xfId="91" applyFont="1" applyFill="1" applyBorder="1" applyAlignment="1">
      <alignment horizontal="left" vertical="top" wrapText="1"/>
    </xf>
    <xf numFmtId="0" fontId="49" fillId="0" borderId="2" xfId="91" applyFont="1" applyFill="1" applyBorder="1" applyAlignment="1" applyProtection="1">
      <alignment vertical="top" wrapText="1"/>
      <protection hidden="1"/>
    </xf>
    <xf numFmtId="167" fontId="49" fillId="0" borderId="2" xfId="91" applyNumberFormat="1" applyFont="1" applyFill="1" applyBorder="1" applyAlignment="1" applyProtection="1">
      <alignment horizontal="left" vertical="top" wrapText="1"/>
      <protection hidden="1"/>
    </xf>
    <xf numFmtId="167" fontId="47" fillId="0" borderId="2" xfId="91" applyNumberFormat="1" applyFont="1" applyFill="1" applyBorder="1" applyAlignment="1"/>
    <xf numFmtId="0" fontId="10" fillId="0" borderId="0" xfId="91" applyFont="1" applyFill="1" applyBorder="1" applyAlignment="1" applyProtection="1">
      <protection hidden="1"/>
    </xf>
    <xf numFmtId="0" fontId="9" fillId="0" borderId="0" xfId="91" applyFont="1" applyFill="1" applyBorder="1" applyAlignment="1" applyProtection="1">
      <alignment horizontal="center" vertical="top" wrapText="1"/>
      <protection locked="0"/>
    </xf>
    <xf numFmtId="0" fontId="15" fillId="0" borderId="2" xfId="91" applyFont="1" applyFill="1" applyBorder="1" applyAlignment="1" applyProtection="1">
      <alignment horizontal="center" vertical="top" wrapText="1"/>
      <protection hidden="1"/>
    </xf>
    <xf numFmtId="0" fontId="15" fillId="0" borderId="2" xfId="91" applyFont="1" applyFill="1" applyBorder="1" applyAlignment="1" applyProtection="1">
      <alignment horizontal="center" vertical="center"/>
      <protection hidden="1"/>
    </xf>
    <xf numFmtId="0" fontId="36" fillId="0" borderId="17" xfId="89" applyFont="1" applyBorder="1" applyAlignment="1">
      <alignment horizontal="center" vertical="center" wrapText="1"/>
    </xf>
    <xf numFmtId="0" fontId="36" fillId="0" borderId="5" xfId="89" applyFont="1" applyBorder="1" applyAlignment="1">
      <alignment horizontal="center" vertical="center" wrapText="1"/>
    </xf>
    <xf numFmtId="0" fontId="36" fillId="0" borderId="6" xfId="89" applyFont="1" applyBorder="1" applyAlignment="1">
      <alignment horizontal="center" vertical="center" wrapText="1"/>
    </xf>
    <xf numFmtId="0" fontId="36" fillId="0" borderId="3" xfId="89" applyFont="1" applyBorder="1" applyAlignment="1">
      <alignment horizontal="center" vertical="center" wrapText="1"/>
    </xf>
    <xf numFmtId="0" fontId="36" fillId="0" borderId="2" xfId="89" applyFont="1" applyBorder="1" applyAlignment="1">
      <alignment horizontal="center" vertical="center" wrapText="1"/>
    </xf>
    <xf numFmtId="0" fontId="36" fillId="0" borderId="7" xfId="89" applyFont="1" applyBorder="1" applyAlignment="1">
      <alignment horizontal="center" vertical="center" wrapText="1"/>
    </xf>
    <xf numFmtId="0" fontId="43" fillId="0" borderId="0" xfId="89" applyFont="1" applyFill="1" applyAlignment="1">
      <alignment horizontal="right" vertical="center"/>
    </xf>
    <xf numFmtId="0" fontId="44" fillId="0" borderId="0" xfId="89" applyFont="1" applyFill="1" applyAlignment="1">
      <alignment horizontal="right" vertical="center" wrapText="1"/>
    </xf>
    <xf numFmtId="0" fontId="40" fillId="0" borderId="0" xfId="89" applyFont="1" applyBorder="1" applyAlignment="1">
      <alignment horizontal="center" wrapText="1"/>
    </xf>
    <xf numFmtId="0" fontId="34" fillId="0" borderId="17" xfId="89" applyFont="1" applyBorder="1" applyAlignment="1">
      <alignment horizontal="center" vertical="center" wrapText="1"/>
    </xf>
    <xf numFmtId="0" fontId="34" fillId="0" borderId="6" xfId="89" applyFont="1" applyBorder="1" applyAlignment="1">
      <alignment horizontal="center" vertical="center" wrapText="1"/>
    </xf>
    <xf numFmtId="0" fontId="34" fillId="0" borderId="3" xfId="89" applyFont="1" applyBorder="1" applyAlignment="1">
      <alignment horizontal="center" vertical="center" wrapText="1"/>
    </xf>
    <xf numFmtId="0" fontId="34" fillId="0" borderId="7" xfId="89" applyFont="1" applyBorder="1" applyAlignment="1">
      <alignment horizontal="center" vertical="center" wrapText="1"/>
    </xf>
    <xf numFmtId="0" fontId="34" fillId="0" borderId="36" xfId="89" applyFont="1" applyBorder="1" applyAlignment="1">
      <alignment horizontal="center" vertical="center" wrapText="1"/>
    </xf>
    <xf numFmtId="0" fontId="34" fillId="0" borderId="37" xfId="89" applyFont="1" applyBorder="1" applyAlignment="1">
      <alignment horizontal="center" vertical="center" wrapText="1"/>
    </xf>
    <xf numFmtId="0" fontId="34" fillId="0" borderId="10" xfId="89" applyFont="1" applyBorder="1" applyAlignment="1">
      <alignment horizontal="center" vertical="center" wrapText="1"/>
    </xf>
    <xf numFmtId="0" fontId="9" fillId="0" borderId="0" xfId="89" applyFont="1" applyAlignment="1">
      <alignment horizontal="center" wrapText="1"/>
    </xf>
    <xf numFmtId="0" fontId="45" fillId="0" borderId="2" xfId="89" applyFont="1" applyFill="1" applyBorder="1" applyAlignment="1">
      <alignment vertical="top" wrapText="1"/>
    </xf>
    <xf numFmtId="0" fontId="43" fillId="0" borderId="0" xfId="89" applyFont="1" applyAlignment="1">
      <alignment horizontal="center"/>
    </xf>
    <xf numFmtId="0" fontId="37" fillId="0" borderId="2" xfId="89" applyFont="1" applyFill="1" applyBorder="1" applyAlignment="1">
      <alignment horizontal="center" vertical="top" wrapText="1"/>
    </xf>
    <xf numFmtId="0" fontId="43" fillId="0" borderId="2" xfId="89" applyFont="1" applyFill="1" applyBorder="1" applyAlignment="1">
      <alignment horizontal="center" vertical="top" wrapText="1"/>
    </xf>
    <xf numFmtId="0" fontId="37" fillId="0" borderId="2" xfId="89" applyFont="1" applyFill="1" applyBorder="1" applyAlignment="1">
      <alignment horizontal="center" vertical="center" wrapText="1"/>
    </xf>
    <xf numFmtId="0" fontId="42" fillId="0" borderId="2" xfId="89" applyFont="1" applyFill="1" applyBorder="1" applyAlignment="1">
      <alignment horizontal="center" vertical="center" wrapText="1"/>
    </xf>
    <xf numFmtId="0" fontId="42" fillId="0" borderId="2" xfId="89" applyFont="1" applyBorder="1" applyAlignment="1">
      <alignment horizontal="center" vertical="center" wrapText="1"/>
    </xf>
    <xf numFmtId="0" fontId="34" fillId="0" borderId="0" xfId="89" applyFont="1" applyAlignment="1">
      <alignment horizontal="center" vertical="center"/>
    </xf>
    <xf numFmtId="0" fontId="43" fillId="0" borderId="0" xfId="89" applyFont="1" applyAlignment="1">
      <alignment horizontal="right" vertical="center"/>
    </xf>
    <xf numFmtId="0" fontId="36" fillId="0" borderId="0" xfId="89" applyFont="1" applyAlignment="1">
      <alignment horizontal="right" vertical="center" wrapText="1"/>
    </xf>
    <xf numFmtId="0" fontId="36" fillId="0" borderId="0" xfId="89" applyFont="1" applyAlignment="1">
      <alignment horizontal="center" vertical="center"/>
    </xf>
  </cellXfs>
  <cellStyles count="106">
    <cellStyle name="br" xfId="1"/>
    <cellStyle name="col" xfId="2"/>
    <cellStyle name="st52" xfId="3"/>
    <cellStyle name="style0" xfId="4"/>
    <cellStyle name="style0 2" xfId="5"/>
    <cellStyle name="td" xfId="6"/>
    <cellStyle name="td 2" xfId="7"/>
    <cellStyle name="tr" xfId="8"/>
    <cellStyle name="xl21" xfId="9"/>
    <cellStyle name="xl21 2" xfId="10"/>
    <cellStyle name="xl22" xfId="11"/>
    <cellStyle name="xl22 2" xfId="12"/>
    <cellStyle name="xl23" xfId="13"/>
    <cellStyle name="xl23 2" xfId="14"/>
    <cellStyle name="xl24" xfId="15"/>
    <cellStyle name="xl24 2" xfId="16"/>
    <cellStyle name="xl25" xfId="17"/>
    <cellStyle name="xl25 2" xfId="18"/>
    <cellStyle name="xl26" xfId="19"/>
    <cellStyle name="xl26 2" xfId="20"/>
    <cellStyle name="xl27" xfId="21"/>
    <cellStyle name="xl27 2" xfId="22"/>
    <cellStyle name="xl28" xfId="23"/>
    <cellStyle name="xl28 2" xfId="24"/>
    <cellStyle name="xl29" xfId="25"/>
    <cellStyle name="xl29 2" xfId="26"/>
    <cellStyle name="xl30" xfId="27"/>
    <cellStyle name="xl30 2" xfId="28"/>
    <cellStyle name="xl31" xfId="29"/>
    <cellStyle name="xl31 2" xfId="30"/>
    <cellStyle name="xl32" xfId="31"/>
    <cellStyle name="xl32 2" xfId="32"/>
    <cellStyle name="xl33" xfId="33"/>
    <cellStyle name="xl33 2" xfId="34"/>
    <cellStyle name="xl34" xfId="35"/>
    <cellStyle name="xl34 2" xfId="36"/>
    <cellStyle name="xl35" xfId="37"/>
    <cellStyle name="xl35 2" xfId="38"/>
    <cellStyle name="xl36" xfId="39"/>
    <cellStyle name="xl37" xfId="40"/>
    <cellStyle name="xl38" xfId="41"/>
    <cellStyle name="xl39" xfId="42"/>
    <cellStyle name="xl40" xfId="43"/>
    <cellStyle name="xl41" xfId="44"/>
    <cellStyle name="xl42" xfId="45"/>
    <cellStyle name="xl43" xfId="46"/>
    <cellStyle name="xl44" xfId="47"/>
    <cellStyle name="xl45" xfId="48"/>
    <cellStyle name="xl46" xfId="49"/>
    <cellStyle name="xl46 2" xfId="105"/>
    <cellStyle name="xl47" xfId="50"/>
    <cellStyle name="xl48" xfId="51"/>
    <cellStyle name="xl49" xfId="52"/>
    <cellStyle name="xl50" xfId="53"/>
    <cellStyle name="xl51" xfId="54"/>
    <cellStyle name="xl52" xfId="55"/>
    <cellStyle name="xl53" xfId="56"/>
    <cellStyle name="xl54" xfId="57"/>
    <cellStyle name="xl55" xfId="58"/>
    <cellStyle name="xl56" xfId="59"/>
    <cellStyle name="xl57" xfId="60"/>
    <cellStyle name="xl58" xfId="61"/>
    <cellStyle name="xl59" xfId="62"/>
    <cellStyle name="xl60" xfId="63"/>
    <cellStyle name="xl61" xfId="64"/>
    <cellStyle name="xl62" xfId="65"/>
    <cellStyle name="xl63" xfId="66"/>
    <cellStyle name="xl64" xfId="67"/>
    <cellStyle name="xl65" xfId="68"/>
    <cellStyle name="xl66" xfId="69"/>
    <cellStyle name="xl67" xfId="70"/>
    <cellStyle name="Обычный" xfId="0" builtinId="0"/>
    <cellStyle name="Обычный 2" xfId="71"/>
    <cellStyle name="Обычный 2 10" xfId="72"/>
    <cellStyle name="Обычный 2 11" xfId="73"/>
    <cellStyle name="Обычный 2 12" xfId="74"/>
    <cellStyle name="Обычный 2 13" xfId="75"/>
    <cellStyle name="Обычный 2 14" xfId="76"/>
    <cellStyle name="Обычный 2 15" xfId="77"/>
    <cellStyle name="Обычный 2 16" xfId="78"/>
    <cellStyle name="Обычный 2 2" xfId="79"/>
    <cellStyle name="Обычный 2 3" xfId="80"/>
    <cellStyle name="Обычный 2 4" xfId="81"/>
    <cellStyle name="Обычный 2 5" xfId="82"/>
    <cellStyle name="Обычный 2 6" xfId="83"/>
    <cellStyle name="Обычный 2 7" xfId="84"/>
    <cellStyle name="Обычный 2 8" xfId="85"/>
    <cellStyle name="Обычный 2 9" xfId="86"/>
    <cellStyle name="Обычный 3" xfId="87"/>
    <cellStyle name="Обычный 4" xfId="88"/>
    <cellStyle name="Обычный 5" xfId="89"/>
    <cellStyle name="Обычный 6" xfId="104"/>
    <cellStyle name="Обычный_Книга6" xfId="90"/>
    <cellStyle name="Обычный_Прогноз 2011" xfId="91"/>
    <cellStyle name="Стиль 1" xfId="92"/>
    <cellStyle name="Финансовый 10" xfId="93"/>
    <cellStyle name="Финансовый 11" xfId="94"/>
    <cellStyle name="Финансовый 13" xfId="95"/>
    <cellStyle name="Финансовый 14" xfId="96"/>
    <cellStyle name="Финансовый 2" xfId="97"/>
    <cellStyle name="Финансовый 4" xfId="98"/>
    <cellStyle name="Финансовый 5" xfId="99"/>
    <cellStyle name="Финансовый 6" xfId="100"/>
    <cellStyle name="Финансовый 7" xfId="101"/>
    <cellStyle name="Финансовый 8" xfId="102"/>
    <cellStyle name="Финансовый 9" xfId="10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G12" sqref="G12"/>
    </sheetView>
  </sheetViews>
  <sheetFormatPr defaultRowHeight="15" x14ac:dyDescent="0.25"/>
  <cols>
    <col min="1" max="1" width="18.28515625" customWidth="1"/>
    <col min="2" max="2" width="14.5703125" bestFit="1" customWidth="1"/>
    <col min="3" max="3" width="36.28515625" customWidth="1"/>
    <col min="4" max="4" width="31.5703125" customWidth="1"/>
  </cols>
  <sheetData>
    <row r="1" spans="1:4" ht="60.75" customHeight="1" x14ac:dyDescent="0.3">
      <c r="A1" s="263" t="s">
        <v>202</v>
      </c>
      <c r="B1" s="263"/>
      <c r="C1" s="263"/>
      <c r="D1" s="263"/>
    </row>
    <row r="2" spans="1:4" s="17" customFormat="1" ht="18.75" x14ac:dyDescent="0.3">
      <c r="A2" s="262" t="s">
        <v>201</v>
      </c>
      <c r="B2" s="262"/>
      <c r="C2" s="262"/>
      <c r="D2" s="262"/>
    </row>
    <row r="3" spans="1:4" s="17" customFormat="1" ht="18.75" x14ac:dyDescent="0.3">
      <c r="A3" s="28"/>
      <c r="B3" s="28"/>
      <c r="C3" s="28"/>
      <c r="D3" s="28"/>
    </row>
    <row r="4" spans="1:4" s="17" customFormat="1" ht="18.75" x14ac:dyDescent="0.3">
      <c r="A4" s="264" t="s">
        <v>195</v>
      </c>
      <c r="B4" s="264"/>
      <c r="C4" s="264"/>
      <c r="D4" s="264"/>
    </row>
    <row r="5" spans="1:4" s="17" customFormat="1" ht="18.75" x14ac:dyDescent="0.3">
      <c r="A5" s="261" t="s">
        <v>185</v>
      </c>
      <c r="B5" s="261"/>
      <c r="C5" s="261" t="s">
        <v>446</v>
      </c>
      <c r="D5" s="261"/>
    </row>
    <row r="6" spans="1:4" s="17" customFormat="1" ht="18.75" x14ac:dyDescent="0.3">
      <c r="A6" s="261" t="s">
        <v>196</v>
      </c>
      <c r="B6" s="261"/>
      <c r="C6" s="261" t="s">
        <v>446</v>
      </c>
      <c r="D6" s="261"/>
    </row>
    <row r="7" spans="1:4" s="17" customFormat="1" ht="18.75" x14ac:dyDescent="0.3">
      <c r="A7" s="261" t="s">
        <v>197</v>
      </c>
      <c r="B7" s="261"/>
      <c r="C7" s="261" t="s">
        <v>446</v>
      </c>
      <c r="D7" s="261"/>
    </row>
    <row r="8" spans="1:4" s="17" customFormat="1" ht="18.75" x14ac:dyDescent="0.3">
      <c r="A8" s="261" t="s">
        <v>198</v>
      </c>
      <c r="B8" s="261"/>
      <c r="C8" s="261" t="s">
        <v>446</v>
      </c>
      <c r="D8" s="261"/>
    </row>
    <row r="9" spans="1:4" s="17" customFormat="1" ht="18.75" x14ac:dyDescent="0.3">
      <c r="A9" s="261" t="s">
        <v>186</v>
      </c>
      <c r="B9" s="261"/>
      <c r="C9" s="261" t="s">
        <v>447</v>
      </c>
      <c r="D9" s="261"/>
    </row>
    <row r="10" spans="1:4" s="17" customFormat="1" ht="18.75" x14ac:dyDescent="0.3">
      <c r="A10" s="261" t="s">
        <v>199</v>
      </c>
      <c r="B10" s="261"/>
      <c r="C10" s="261" t="s">
        <v>187</v>
      </c>
      <c r="D10" s="261"/>
    </row>
    <row r="11" spans="1:4" s="17" customFormat="1" ht="18.75" x14ac:dyDescent="0.3">
      <c r="A11" s="261" t="s">
        <v>200</v>
      </c>
      <c r="B11" s="261"/>
      <c r="C11" s="261" t="s">
        <v>187</v>
      </c>
      <c r="D11" s="261"/>
    </row>
    <row r="12" spans="1:4" s="17" customFormat="1" ht="18.75" x14ac:dyDescent="0.3">
      <c r="A12" s="262"/>
      <c r="B12" s="262"/>
      <c r="C12" s="27"/>
      <c r="D12" s="29"/>
    </row>
    <row r="13" spans="1:4" s="17" customFormat="1" ht="18.75" x14ac:dyDescent="0.3">
      <c r="A13" s="260" t="s">
        <v>190</v>
      </c>
      <c r="B13" s="260"/>
      <c r="C13" s="260"/>
      <c r="D13" s="260"/>
    </row>
    <row r="14" spans="1:4" s="17" customFormat="1" ht="37.5" x14ac:dyDescent="0.3">
      <c r="A14" s="26" t="s">
        <v>189</v>
      </c>
      <c r="B14" s="26" t="s">
        <v>191</v>
      </c>
      <c r="C14" s="30" t="s">
        <v>203</v>
      </c>
      <c r="D14" s="30" t="s">
        <v>188</v>
      </c>
    </row>
    <row r="15" spans="1:4" ht="18.75" x14ac:dyDescent="0.3">
      <c r="A15" s="26" t="s">
        <v>204</v>
      </c>
      <c r="B15" s="26" t="s">
        <v>192</v>
      </c>
      <c r="C15" s="266" t="s">
        <v>464</v>
      </c>
      <c r="D15" s="267"/>
    </row>
    <row r="16" spans="1:4" s="17" customFormat="1" x14ac:dyDescent="0.25"/>
    <row r="17" spans="1:4" ht="18.75" x14ac:dyDescent="0.3">
      <c r="A17" s="260" t="s">
        <v>193</v>
      </c>
      <c r="B17" s="260"/>
      <c r="C17" s="260"/>
      <c r="D17" s="260"/>
    </row>
    <row r="18" spans="1:4" ht="18.75" x14ac:dyDescent="0.3">
      <c r="A18" s="261" t="s">
        <v>197</v>
      </c>
      <c r="B18" s="261"/>
      <c r="C18" s="265" t="s">
        <v>194</v>
      </c>
      <c r="D18" s="265"/>
    </row>
    <row r="19" spans="1:4" ht="18.75" x14ac:dyDescent="0.3">
      <c r="C19" s="25" t="s">
        <v>304</v>
      </c>
      <c r="D19" s="25"/>
    </row>
    <row r="20" spans="1:4" ht="18.75" x14ac:dyDescent="0.3">
      <c r="C20" s="25"/>
      <c r="D20" s="25"/>
    </row>
    <row r="22" spans="1:4" ht="18.75" x14ac:dyDescent="0.3">
      <c r="A22" s="262"/>
      <c r="B22" s="262"/>
    </row>
  </sheetData>
  <mergeCells count="24">
    <mergeCell ref="A1:D1"/>
    <mergeCell ref="A13:D13"/>
    <mergeCell ref="A22:B22"/>
    <mergeCell ref="A4:D4"/>
    <mergeCell ref="A5:B5"/>
    <mergeCell ref="A6:B6"/>
    <mergeCell ref="A7:B7"/>
    <mergeCell ref="C10:D10"/>
    <mergeCell ref="C11:D11"/>
    <mergeCell ref="A2:D2"/>
    <mergeCell ref="A18:B18"/>
    <mergeCell ref="C18:D18"/>
    <mergeCell ref="C15:D15"/>
    <mergeCell ref="A8:B8"/>
    <mergeCell ref="A9:B9"/>
    <mergeCell ref="A10:B10"/>
    <mergeCell ref="A17:D17"/>
    <mergeCell ref="A11:B11"/>
    <mergeCell ref="A12:B12"/>
    <mergeCell ref="C5:D5"/>
    <mergeCell ref="C6:D6"/>
    <mergeCell ref="C7:D7"/>
    <mergeCell ref="C8:D8"/>
    <mergeCell ref="C9:D9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6"/>
  <sheetViews>
    <sheetView tabSelected="1" topLeftCell="C1" zoomScale="85" zoomScaleNormal="85" workbookViewId="0">
      <selection activeCell="F150" sqref="F150"/>
    </sheetView>
  </sheetViews>
  <sheetFormatPr defaultRowHeight="15.75" x14ac:dyDescent="0.25"/>
  <cols>
    <col min="1" max="1" width="9.140625" style="1" hidden="1" customWidth="1"/>
    <col min="2" max="2" width="28.28515625" style="1" hidden="1" customWidth="1"/>
    <col min="3" max="3" width="72.28515625" style="1" customWidth="1"/>
    <col min="4" max="4" width="15.5703125" style="1" customWidth="1"/>
    <col min="5" max="5" width="15.5703125" style="125" customWidth="1"/>
    <col min="6" max="6" width="13.42578125" style="1" customWidth="1"/>
    <col min="7" max="7" width="9.140625" style="1" customWidth="1"/>
    <col min="8" max="8" width="3.42578125" style="1" hidden="1" customWidth="1"/>
    <col min="9" max="9" width="1.85546875" style="1" hidden="1" customWidth="1"/>
    <col min="10" max="16384" width="9.140625" style="1"/>
  </cols>
  <sheetData>
    <row r="1" spans="2:10" s="70" customFormat="1" ht="18.75" customHeight="1" x14ac:dyDescent="0.25">
      <c r="C1" s="268" t="s">
        <v>158</v>
      </c>
      <c r="D1" s="268"/>
      <c r="E1" s="268"/>
      <c r="F1" s="268"/>
    </row>
    <row r="2" spans="2:10" s="70" customFormat="1" x14ac:dyDescent="0.25">
      <c r="B2" s="190"/>
      <c r="C2" s="69"/>
      <c r="D2" s="69"/>
      <c r="E2" s="123"/>
      <c r="F2" s="71" t="s">
        <v>0</v>
      </c>
    </row>
    <row r="3" spans="2:10" s="70" customFormat="1" ht="63" x14ac:dyDescent="0.25">
      <c r="B3" s="191" t="s">
        <v>1</v>
      </c>
      <c r="C3" s="72" t="s">
        <v>2</v>
      </c>
      <c r="D3" s="72" t="s">
        <v>547</v>
      </c>
      <c r="E3" s="72" t="s">
        <v>548</v>
      </c>
      <c r="F3" s="73" t="s">
        <v>549</v>
      </c>
    </row>
    <row r="4" spans="2:10" s="70" customFormat="1" x14ac:dyDescent="0.25">
      <c r="B4" s="74" t="s">
        <v>3</v>
      </c>
      <c r="C4" s="74" t="s">
        <v>4</v>
      </c>
      <c r="D4" s="75">
        <f>SUM(D5,D12)</f>
        <v>186770.7</v>
      </c>
      <c r="E4" s="75">
        <f>SUM(E5,E12)</f>
        <v>178058.89999999994</v>
      </c>
      <c r="F4" s="75">
        <f>SUM(F5,F12)</f>
        <v>183818.99999999994</v>
      </c>
      <c r="G4" s="24"/>
      <c r="J4" s="24"/>
    </row>
    <row r="5" spans="2:10" s="70" customFormat="1" x14ac:dyDescent="0.25">
      <c r="B5" s="74"/>
      <c r="C5" s="74" t="s">
        <v>5</v>
      </c>
      <c r="D5" s="75">
        <f>SUM(D6,D7,D8,D9,D10,D11)</f>
        <v>161781.20000000001</v>
      </c>
      <c r="E5" s="75">
        <f>SUM(E6,E7,E8,E9,E10,E11)</f>
        <v>162456.39999999994</v>
      </c>
      <c r="F5" s="75">
        <f>SUM(F6,F7,F8,F9,F10,F11)</f>
        <v>162456.39999999994</v>
      </c>
      <c r="J5" s="24"/>
    </row>
    <row r="6" spans="2:10" s="70" customFormat="1" x14ac:dyDescent="0.25">
      <c r="B6" s="192" t="s">
        <v>6</v>
      </c>
      <c r="C6" s="76" t="s">
        <v>159</v>
      </c>
      <c r="D6" s="78">
        <v>140139.29999999999</v>
      </c>
      <c r="E6" s="77">
        <v>141445.19999999995</v>
      </c>
      <c r="F6" s="77">
        <v>141445.19999999995</v>
      </c>
    </row>
    <row r="7" spans="2:10" s="70" customFormat="1" ht="31.5" x14ac:dyDescent="0.25">
      <c r="B7" s="2" t="s">
        <v>7</v>
      </c>
      <c r="C7" s="76" t="s">
        <v>160</v>
      </c>
      <c r="D7" s="78">
        <v>5836.6</v>
      </c>
      <c r="E7" s="78">
        <v>5145.8</v>
      </c>
      <c r="F7" s="78">
        <v>5145.8</v>
      </c>
    </row>
    <row r="8" spans="2:10" s="70" customFormat="1" x14ac:dyDescent="0.25">
      <c r="B8" s="2" t="s">
        <v>8</v>
      </c>
      <c r="C8" s="76" t="s">
        <v>161</v>
      </c>
      <c r="D8" s="78">
        <v>11006.2</v>
      </c>
      <c r="E8" s="78">
        <v>11156.1</v>
      </c>
      <c r="F8" s="78">
        <v>11156.1</v>
      </c>
    </row>
    <row r="9" spans="2:10" s="70" customFormat="1" x14ac:dyDescent="0.25">
      <c r="B9" s="193" t="s">
        <v>9</v>
      </c>
      <c r="C9" s="76" t="s">
        <v>162</v>
      </c>
      <c r="D9" s="78">
        <v>4016</v>
      </c>
      <c r="E9" s="78">
        <v>4078.9</v>
      </c>
      <c r="F9" s="78">
        <v>4078.9</v>
      </c>
    </row>
    <row r="10" spans="2:10" s="70" customFormat="1" x14ac:dyDescent="0.25">
      <c r="B10" s="2" t="s">
        <v>10</v>
      </c>
      <c r="C10" s="76" t="s">
        <v>163</v>
      </c>
      <c r="D10" s="78">
        <v>783</v>
      </c>
      <c r="E10" s="78">
        <v>630.4</v>
      </c>
      <c r="F10" s="78">
        <v>630.4</v>
      </c>
    </row>
    <row r="11" spans="2:10" s="70" customFormat="1" ht="31.5" x14ac:dyDescent="0.25">
      <c r="B11" s="2" t="s">
        <v>152</v>
      </c>
      <c r="C11" s="76" t="s">
        <v>164</v>
      </c>
      <c r="D11" s="78">
        <v>0.1</v>
      </c>
      <c r="E11" s="82">
        <v>0</v>
      </c>
      <c r="F11" s="82">
        <v>0</v>
      </c>
    </row>
    <row r="12" spans="2:10" s="196" customFormat="1" x14ac:dyDescent="0.25">
      <c r="B12" s="3"/>
      <c r="C12" s="3" t="s">
        <v>11</v>
      </c>
      <c r="D12" s="79">
        <f>SUM(D13:D18)</f>
        <v>24989.5</v>
      </c>
      <c r="E12" s="79">
        <f>SUM(E13:E18)</f>
        <v>15602.5</v>
      </c>
      <c r="F12" s="79">
        <f>SUM(F13:F18)</f>
        <v>21362.600000000002</v>
      </c>
      <c r="G12" s="194"/>
      <c r="H12" s="195"/>
      <c r="I12" s="70"/>
    </row>
    <row r="13" spans="2:10" s="70" customFormat="1" ht="31.5" x14ac:dyDescent="0.25">
      <c r="B13" s="2" t="s">
        <v>12</v>
      </c>
      <c r="C13" s="76" t="s">
        <v>165</v>
      </c>
      <c r="D13" s="78">
        <v>12861.8</v>
      </c>
      <c r="E13" s="78">
        <v>11650</v>
      </c>
      <c r="F13" s="78">
        <v>17091.2</v>
      </c>
    </row>
    <row r="14" spans="2:10" s="70" customFormat="1" x14ac:dyDescent="0.25">
      <c r="B14" s="2" t="s">
        <v>13</v>
      </c>
      <c r="C14" s="76" t="s">
        <v>166</v>
      </c>
      <c r="D14" s="78">
        <v>2904.5</v>
      </c>
      <c r="E14" s="78">
        <v>3000.0000000000005</v>
      </c>
      <c r="F14" s="78">
        <v>3000.0000000000005</v>
      </c>
    </row>
    <row r="15" spans="2:10" s="84" customFormat="1" ht="31.5" x14ac:dyDescent="0.25">
      <c r="B15" s="83" t="s">
        <v>14</v>
      </c>
      <c r="C15" s="76" t="s">
        <v>167</v>
      </c>
      <c r="D15" s="78">
        <v>7976.2</v>
      </c>
      <c r="E15" s="78">
        <v>900</v>
      </c>
      <c r="F15" s="78">
        <v>1110</v>
      </c>
      <c r="I15" s="70"/>
    </row>
    <row r="16" spans="2:10" s="84" customFormat="1" x14ac:dyDescent="0.25">
      <c r="B16" s="83" t="s">
        <v>151</v>
      </c>
      <c r="C16" s="76" t="s">
        <v>168</v>
      </c>
      <c r="D16" s="78">
        <v>475.3</v>
      </c>
      <c r="E16" s="78">
        <v>0</v>
      </c>
      <c r="F16" s="78">
        <v>0</v>
      </c>
      <c r="I16" s="70"/>
    </row>
    <row r="17" spans="2:6" s="70" customFormat="1" x14ac:dyDescent="0.25">
      <c r="B17" s="2" t="s">
        <v>15</v>
      </c>
      <c r="C17" s="76" t="s">
        <v>169</v>
      </c>
      <c r="D17" s="78">
        <v>727.9</v>
      </c>
      <c r="E17" s="78">
        <v>52.5</v>
      </c>
      <c r="F17" s="78">
        <v>52.5</v>
      </c>
    </row>
    <row r="18" spans="2:6" s="70" customFormat="1" x14ac:dyDescent="0.25">
      <c r="B18" s="2"/>
      <c r="C18" s="76" t="s">
        <v>524</v>
      </c>
      <c r="D18" s="78">
        <v>43.8</v>
      </c>
      <c r="E18" s="78">
        <v>0</v>
      </c>
      <c r="F18" s="78">
        <v>108.9</v>
      </c>
    </row>
    <row r="19" spans="2:6" s="70" customFormat="1" x14ac:dyDescent="0.25">
      <c r="B19" s="3" t="s">
        <v>16</v>
      </c>
      <c r="C19" s="3" t="s">
        <v>17</v>
      </c>
      <c r="D19" s="80">
        <f>SUM(D20,D91:D93)</f>
        <v>1940993.7000000004</v>
      </c>
      <c r="E19" s="80">
        <f>SUM(E20,E91:E93)</f>
        <v>1615888</v>
      </c>
      <c r="F19" s="80">
        <f>SUM(F20,F91:F93)</f>
        <v>1772179.6</v>
      </c>
    </row>
    <row r="20" spans="2:6" s="70" customFormat="1" ht="31.5" x14ac:dyDescent="0.25">
      <c r="B20" s="3" t="s">
        <v>18</v>
      </c>
      <c r="C20" s="81" t="s">
        <v>19</v>
      </c>
      <c r="D20" s="80">
        <f>SUM(D21,D25,D67,D81)</f>
        <v>1941082.5000000005</v>
      </c>
      <c r="E20" s="80">
        <f>SUM(E21,E25,E67,E81)</f>
        <v>1615888</v>
      </c>
      <c r="F20" s="80">
        <f>SUM(F21,F25,F67,F81)</f>
        <v>1772389.6</v>
      </c>
    </row>
    <row r="21" spans="2:6" s="70" customFormat="1" ht="31.5" x14ac:dyDescent="0.25">
      <c r="B21" s="3" t="s">
        <v>20</v>
      </c>
      <c r="C21" s="3" t="s">
        <v>21</v>
      </c>
      <c r="D21" s="79">
        <f>SUM(D22:D24)</f>
        <v>1082092.6000000001</v>
      </c>
      <c r="E21" s="79">
        <f t="shared" ref="E21:F21" si="0">SUM(E22:E24)</f>
        <v>691674.7</v>
      </c>
      <c r="F21" s="79">
        <f t="shared" si="0"/>
        <v>771018.59999999986</v>
      </c>
    </row>
    <row r="22" spans="2:6" s="70" customFormat="1" ht="31.5" x14ac:dyDescent="0.25">
      <c r="B22" s="3"/>
      <c r="C22" s="121" t="s">
        <v>550</v>
      </c>
      <c r="D22" s="78">
        <v>609990.1</v>
      </c>
      <c r="E22" s="78">
        <v>691674.7</v>
      </c>
      <c r="F22" s="78">
        <v>691674.7</v>
      </c>
    </row>
    <row r="23" spans="2:6" s="70" customFormat="1" ht="31.5" x14ac:dyDescent="0.25">
      <c r="B23" s="3"/>
      <c r="C23" s="121" t="s">
        <v>551</v>
      </c>
      <c r="D23" s="78">
        <v>462531.5</v>
      </c>
      <c r="E23" s="78">
        <v>0</v>
      </c>
      <c r="F23" s="78">
        <v>61829.2</v>
      </c>
    </row>
    <row r="24" spans="2:6" s="70" customFormat="1" ht="31.5" x14ac:dyDescent="0.25">
      <c r="B24" s="3"/>
      <c r="C24" s="121" t="s">
        <v>554</v>
      </c>
      <c r="D24" s="78">
        <v>9571</v>
      </c>
      <c r="E24" s="78">
        <v>0</v>
      </c>
      <c r="F24" s="78">
        <v>17514.7</v>
      </c>
    </row>
    <row r="25" spans="2:6" s="70" customFormat="1" ht="31.5" x14ac:dyDescent="0.25">
      <c r="B25" s="3" t="s">
        <v>22</v>
      </c>
      <c r="C25" s="3" t="s">
        <v>23</v>
      </c>
      <c r="D25" s="80">
        <f>SUM(D26:D35)</f>
        <v>244112.60000000003</v>
      </c>
      <c r="E25" s="80">
        <f>SUM(E26:E35)</f>
        <v>265408.10000000003</v>
      </c>
      <c r="F25" s="80">
        <f>SUM(F26:F35)</f>
        <v>311173.8</v>
      </c>
    </row>
    <row r="26" spans="2:6" s="70" customFormat="1" ht="31.5" x14ac:dyDescent="0.25">
      <c r="B26" s="3"/>
      <c r="C26" s="2" t="s">
        <v>305</v>
      </c>
      <c r="D26" s="82">
        <v>24219</v>
      </c>
      <c r="E26" s="82">
        <v>95045.2</v>
      </c>
      <c r="F26" s="82">
        <v>53631.1</v>
      </c>
    </row>
    <row r="27" spans="2:6" s="70" customFormat="1" ht="47.25" x14ac:dyDescent="0.25">
      <c r="B27" s="3"/>
      <c r="C27" s="121" t="s">
        <v>401</v>
      </c>
      <c r="D27" s="82">
        <v>0</v>
      </c>
      <c r="E27" s="82">
        <v>3265.3</v>
      </c>
      <c r="F27" s="82">
        <v>3265.3</v>
      </c>
    </row>
    <row r="28" spans="2:6" s="70" customFormat="1" ht="47.25" hidden="1" x14ac:dyDescent="0.25">
      <c r="B28" s="3"/>
      <c r="C28" s="121" t="s">
        <v>396</v>
      </c>
      <c r="D28" s="82"/>
      <c r="E28" s="82"/>
      <c r="F28" s="82"/>
    </row>
    <row r="29" spans="2:6" s="70" customFormat="1" ht="63" x14ac:dyDescent="0.25">
      <c r="B29" s="3"/>
      <c r="C29" s="121" t="s">
        <v>448</v>
      </c>
      <c r="D29" s="82">
        <v>942.7</v>
      </c>
      <c r="E29" s="82">
        <v>0</v>
      </c>
      <c r="F29" s="82">
        <v>3718.4</v>
      </c>
    </row>
    <row r="30" spans="2:6" s="70" customFormat="1" ht="63" x14ac:dyDescent="0.25">
      <c r="B30" s="3"/>
      <c r="C30" s="121" t="s">
        <v>449</v>
      </c>
      <c r="D30" s="82">
        <v>6435</v>
      </c>
      <c r="E30" s="82">
        <v>11295.7</v>
      </c>
      <c r="F30" s="82">
        <v>11295.7</v>
      </c>
    </row>
    <row r="31" spans="2:6" s="70" customFormat="1" ht="31.5" hidden="1" x14ac:dyDescent="0.25">
      <c r="B31" s="3"/>
      <c r="C31" s="121" t="s">
        <v>525</v>
      </c>
      <c r="D31" s="82"/>
      <c r="E31" s="82"/>
      <c r="F31" s="82"/>
    </row>
    <row r="32" spans="2:6" s="70" customFormat="1" ht="63" hidden="1" x14ac:dyDescent="0.25">
      <c r="B32" s="3"/>
      <c r="C32" s="121" t="s">
        <v>526</v>
      </c>
      <c r="D32" s="82"/>
      <c r="E32" s="82"/>
      <c r="F32" s="82"/>
    </row>
    <row r="33" spans="2:6" s="70" customFormat="1" ht="48.75" hidden="1" customHeight="1" x14ac:dyDescent="0.25">
      <c r="B33" s="3"/>
      <c r="C33" s="2" t="s">
        <v>393</v>
      </c>
      <c r="D33" s="82"/>
      <c r="E33" s="82"/>
      <c r="F33" s="82"/>
    </row>
    <row r="34" spans="2:6" s="70" customFormat="1" ht="31.5" x14ac:dyDescent="0.25">
      <c r="B34" s="3"/>
      <c r="C34" s="2" t="s">
        <v>530</v>
      </c>
      <c r="D34" s="82"/>
      <c r="E34" s="82">
        <v>19151.5</v>
      </c>
      <c r="F34" s="82">
        <v>19151.5</v>
      </c>
    </row>
    <row r="35" spans="2:6" s="70" customFormat="1" x14ac:dyDescent="0.25">
      <c r="B35" s="2" t="s">
        <v>24</v>
      </c>
      <c r="C35" s="2" t="s">
        <v>25</v>
      </c>
      <c r="D35" s="82">
        <f>SUM(D37:D66)</f>
        <v>212515.90000000002</v>
      </c>
      <c r="E35" s="82">
        <f>SUM(E37:E66)</f>
        <v>136650.40000000002</v>
      </c>
      <c r="F35" s="82">
        <f>SUM(F37:F66)</f>
        <v>220111.8</v>
      </c>
    </row>
    <row r="36" spans="2:6" s="70" customFormat="1" x14ac:dyDescent="0.25">
      <c r="C36" s="2" t="s">
        <v>26</v>
      </c>
      <c r="D36" s="78"/>
      <c r="E36" s="78"/>
      <c r="F36" s="78"/>
    </row>
    <row r="37" spans="2:6" s="70" customFormat="1" ht="31.5" x14ac:dyDescent="0.25">
      <c r="B37" s="2"/>
      <c r="C37" s="2" t="s">
        <v>306</v>
      </c>
      <c r="D37" s="78">
        <v>73407.100000000006</v>
      </c>
      <c r="E37" s="82">
        <v>50000</v>
      </c>
      <c r="F37" s="82">
        <v>98144.6</v>
      </c>
    </row>
    <row r="38" spans="2:6" s="70" customFormat="1" ht="32.25" customHeight="1" x14ac:dyDescent="0.25">
      <c r="B38" s="2"/>
      <c r="C38" s="59" t="s">
        <v>28</v>
      </c>
      <c r="D38" s="78">
        <v>7165.2</v>
      </c>
      <c r="E38" s="82">
        <v>8793.1</v>
      </c>
      <c r="F38" s="82">
        <v>8430.7000000000007</v>
      </c>
    </row>
    <row r="39" spans="2:6" s="70" customFormat="1" ht="32.25" customHeight="1" x14ac:dyDescent="0.25">
      <c r="B39" s="2"/>
      <c r="C39" s="59" t="s">
        <v>392</v>
      </c>
      <c r="D39" s="78">
        <v>11983.2</v>
      </c>
      <c r="E39" s="78">
        <v>11703</v>
      </c>
      <c r="F39" s="82">
        <v>11703</v>
      </c>
    </row>
    <row r="40" spans="2:6" s="70" customFormat="1" x14ac:dyDescent="0.25">
      <c r="B40" s="2"/>
      <c r="C40" s="59" t="s">
        <v>528</v>
      </c>
      <c r="D40" s="78">
        <v>3463.1</v>
      </c>
      <c r="E40" s="78">
        <v>0</v>
      </c>
      <c r="F40" s="82">
        <v>5112.2</v>
      </c>
    </row>
    <row r="41" spans="2:6" s="70" customFormat="1" ht="31.5" x14ac:dyDescent="0.25">
      <c r="B41" s="2"/>
      <c r="C41" s="59" t="s">
        <v>394</v>
      </c>
      <c r="D41" s="78">
        <v>6273.2</v>
      </c>
      <c r="E41" s="82">
        <v>0</v>
      </c>
      <c r="F41" s="82">
        <v>9990</v>
      </c>
    </row>
    <row r="42" spans="2:6" s="70" customFormat="1" x14ac:dyDescent="0.25">
      <c r="B42" s="2"/>
      <c r="C42" s="59" t="s">
        <v>395</v>
      </c>
      <c r="D42" s="78">
        <v>1433</v>
      </c>
      <c r="E42" s="82">
        <v>0</v>
      </c>
      <c r="F42" s="82">
        <v>0</v>
      </c>
    </row>
    <row r="43" spans="2:6" s="70" customFormat="1" ht="31.5" x14ac:dyDescent="0.25">
      <c r="B43" s="2"/>
      <c r="C43" s="2" t="s">
        <v>27</v>
      </c>
      <c r="D43" s="78">
        <v>5197.5</v>
      </c>
      <c r="E43" s="82">
        <v>5197.5</v>
      </c>
      <c r="F43" s="82">
        <v>6756.7</v>
      </c>
    </row>
    <row r="44" spans="2:6" s="70" customFormat="1" ht="47.25" hidden="1" x14ac:dyDescent="0.25">
      <c r="B44" s="2"/>
      <c r="C44" s="2" t="s">
        <v>339</v>
      </c>
      <c r="D44" s="78"/>
      <c r="E44" s="78"/>
      <c r="F44" s="78"/>
    </row>
    <row r="45" spans="2:6" s="70" customFormat="1" ht="31.5" hidden="1" x14ac:dyDescent="0.25">
      <c r="B45" s="2"/>
      <c r="C45" s="2" t="s">
        <v>340</v>
      </c>
      <c r="D45" s="82"/>
      <c r="E45" s="78"/>
      <c r="F45" s="78"/>
    </row>
    <row r="46" spans="2:6" s="70" customFormat="1" ht="31.5" hidden="1" x14ac:dyDescent="0.25">
      <c r="B46" s="2"/>
      <c r="C46" s="2" t="s">
        <v>341</v>
      </c>
      <c r="D46" s="82"/>
      <c r="E46" s="78"/>
      <c r="F46" s="78"/>
    </row>
    <row r="47" spans="2:6" s="70" customFormat="1" ht="31.5" x14ac:dyDescent="0.25">
      <c r="B47" s="2"/>
      <c r="C47" s="121" t="s">
        <v>398</v>
      </c>
      <c r="D47" s="78">
        <v>100</v>
      </c>
      <c r="E47" s="82">
        <v>200</v>
      </c>
      <c r="F47" s="82">
        <v>200</v>
      </c>
    </row>
    <row r="48" spans="2:6" s="70" customFormat="1" ht="31.5" x14ac:dyDescent="0.25">
      <c r="B48" s="2"/>
      <c r="C48" s="121" t="s">
        <v>399</v>
      </c>
      <c r="D48" s="78">
        <v>5336.3</v>
      </c>
      <c r="E48" s="82">
        <v>2210</v>
      </c>
      <c r="F48" s="82">
        <v>0</v>
      </c>
    </row>
    <row r="49" spans="2:6" s="70" customFormat="1" ht="31.5" x14ac:dyDescent="0.25">
      <c r="B49" s="2"/>
      <c r="C49" s="121" t="s">
        <v>400</v>
      </c>
      <c r="D49" s="82"/>
      <c r="E49" s="82">
        <v>500</v>
      </c>
      <c r="F49" s="82">
        <v>500</v>
      </c>
    </row>
    <row r="50" spans="2:6" s="70" customFormat="1" ht="31.5" hidden="1" x14ac:dyDescent="0.25">
      <c r="B50" s="2"/>
      <c r="C50" s="121" t="s">
        <v>402</v>
      </c>
      <c r="D50" s="82"/>
      <c r="E50" s="82"/>
      <c r="F50" s="82"/>
    </row>
    <row r="51" spans="2:6" s="70" customFormat="1" ht="31.5" x14ac:dyDescent="0.25">
      <c r="B51" s="2"/>
      <c r="C51" s="121" t="s">
        <v>406</v>
      </c>
      <c r="D51" s="82">
        <v>800</v>
      </c>
      <c r="E51" s="82">
        <v>800</v>
      </c>
      <c r="F51" s="82">
        <v>800</v>
      </c>
    </row>
    <row r="52" spans="2:6" s="70" customFormat="1" ht="31.5" x14ac:dyDescent="0.25">
      <c r="B52" s="2"/>
      <c r="C52" s="121" t="s">
        <v>407</v>
      </c>
      <c r="D52" s="82">
        <v>1000</v>
      </c>
      <c r="E52" s="82">
        <v>1000</v>
      </c>
      <c r="F52" s="82">
        <v>1000</v>
      </c>
    </row>
    <row r="53" spans="2:6" s="70" customFormat="1" ht="47.25" x14ac:dyDescent="0.25">
      <c r="B53" s="2"/>
      <c r="C53" s="121" t="s">
        <v>531</v>
      </c>
      <c r="D53" s="82"/>
      <c r="E53" s="82">
        <v>1000</v>
      </c>
      <c r="F53" s="82">
        <v>1000</v>
      </c>
    </row>
    <row r="54" spans="2:6" s="70" customFormat="1" ht="31.5" hidden="1" x14ac:dyDescent="0.25">
      <c r="B54" s="2"/>
      <c r="C54" s="121" t="s">
        <v>408</v>
      </c>
      <c r="D54" s="82"/>
      <c r="E54" s="82"/>
      <c r="F54" s="189"/>
    </row>
    <row r="55" spans="2:6" s="70" customFormat="1" ht="47.25" x14ac:dyDescent="0.25">
      <c r="B55" s="2"/>
      <c r="C55" s="121" t="s">
        <v>450</v>
      </c>
      <c r="D55" s="82">
        <v>20000</v>
      </c>
      <c r="E55" s="82">
        <v>12354.5</v>
      </c>
      <c r="F55" s="82">
        <v>10837.3</v>
      </c>
    </row>
    <row r="56" spans="2:6" s="70" customFormat="1" x14ac:dyDescent="0.25">
      <c r="B56" s="2"/>
      <c r="C56" s="121" t="s">
        <v>622</v>
      </c>
      <c r="D56" s="82">
        <v>783</v>
      </c>
      <c r="E56" s="82">
        <v>995.8</v>
      </c>
      <c r="F56" s="82">
        <v>995.8</v>
      </c>
    </row>
    <row r="57" spans="2:6" s="70" customFormat="1" ht="47.25" x14ac:dyDescent="0.25">
      <c r="B57" s="2"/>
      <c r="C57" s="121" t="s">
        <v>621</v>
      </c>
      <c r="D57" s="82">
        <v>0</v>
      </c>
      <c r="E57" s="82">
        <v>450</v>
      </c>
      <c r="F57" s="82">
        <v>0</v>
      </c>
    </row>
    <row r="58" spans="2:6" s="70" customFormat="1" ht="31.5" x14ac:dyDescent="0.25">
      <c r="B58" s="2"/>
      <c r="C58" s="121" t="s">
        <v>397</v>
      </c>
      <c r="D58" s="78">
        <v>44969.599999999999</v>
      </c>
      <c r="E58" s="82">
        <v>18100</v>
      </c>
      <c r="F58" s="82">
        <v>39100</v>
      </c>
    </row>
    <row r="59" spans="2:6" s="70" customFormat="1" ht="31.5" x14ac:dyDescent="0.25">
      <c r="B59" s="2"/>
      <c r="C59" s="188" t="s">
        <v>552</v>
      </c>
      <c r="D59" s="82">
        <v>19843.599999999999</v>
      </c>
      <c r="E59" s="82">
        <v>14014.6</v>
      </c>
      <c r="F59" s="82">
        <v>14014.6</v>
      </c>
    </row>
    <row r="60" spans="2:6" s="70" customFormat="1" ht="31.5" x14ac:dyDescent="0.25">
      <c r="B60" s="2"/>
      <c r="C60" s="188" t="s">
        <v>553</v>
      </c>
      <c r="D60" s="82">
        <v>10000</v>
      </c>
      <c r="E60" s="82">
        <v>8331.9</v>
      </c>
      <c r="F60" s="82">
        <v>8331.9</v>
      </c>
    </row>
    <row r="61" spans="2:6" s="70" customFormat="1" x14ac:dyDescent="0.25">
      <c r="B61" s="2"/>
      <c r="C61" s="121" t="s">
        <v>623</v>
      </c>
      <c r="D61" s="82"/>
      <c r="E61" s="82">
        <v>500</v>
      </c>
      <c r="F61" s="82">
        <v>500</v>
      </c>
    </row>
    <row r="62" spans="2:6" s="70" customFormat="1" x14ac:dyDescent="0.25">
      <c r="B62" s="2"/>
      <c r="C62" s="121" t="s">
        <v>624</v>
      </c>
      <c r="D62" s="82">
        <v>315.39999999999998</v>
      </c>
      <c r="E62" s="82">
        <v>500</v>
      </c>
      <c r="F62" s="82">
        <v>500</v>
      </c>
    </row>
    <row r="63" spans="2:6" s="70" customFormat="1" x14ac:dyDescent="0.25">
      <c r="B63" s="2"/>
      <c r="C63" s="121" t="s">
        <v>625</v>
      </c>
      <c r="D63" s="82">
        <v>445.7</v>
      </c>
      <c r="E63" s="82">
        <v>0</v>
      </c>
      <c r="F63" s="82">
        <v>0</v>
      </c>
    </row>
    <row r="64" spans="2:6" s="70" customFormat="1" ht="47.25" x14ac:dyDescent="0.25">
      <c r="B64" s="2"/>
      <c r="C64" s="121" t="s">
        <v>626</v>
      </c>
      <c r="D64" s="82">
        <v>0</v>
      </c>
      <c r="E64" s="82">
        <v>0</v>
      </c>
      <c r="F64" s="82">
        <v>2000</v>
      </c>
    </row>
    <row r="65" spans="2:9" s="70" customFormat="1" ht="47.25" x14ac:dyDescent="0.25">
      <c r="B65" s="2"/>
      <c r="C65" s="121" t="s">
        <v>629</v>
      </c>
      <c r="D65" s="82"/>
      <c r="E65" s="82"/>
      <c r="F65" s="82">
        <v>195</v>
      </c>
    </row>
    <row r="66" spans="2:9" s="70" customFormat="1" hidden="1" x14ac:dyDescent="0.25">
      <c r="B66" s="2"/>
      <c r="C66" s="121" t="s">
        <v>451</v>
      </c>
      <c r="D66" s="82"/>
      <c r="E66" s="82"/>
      <c r="F66" s="82"/>
    </row>
    <row r="67" spans="2:9" s="70" customFormat="1" x14ac:dyDescent="0.25">
      <c r="B67" s="3" t="s">
        <v>29</v>
      </c>
      <c r="C67" s="122" t="s">
        <v>452</v>
      </c>
      <c r="D67" s="79">
        <f>SUM(D68:D71,D72)</f>
        <v>594731.20000000007</v>
      </c>
      <c r="E67" s="79">
        <f>SUM(E68:E71,E72)</f>
        <v>632946.70000000007</v>
      </c>
      <c r="F67" s="79">
        <f>SUM(F68:F71,F72)</f>
        <v>657210.10000000009</v>
      </c>
      <c r="H67" s="24"/>
    </row>
    <row r="68" spans="2:9" s="70" customFormat="1" ht="66.75" customHeight="1" x14ac:dyDescent="0.25">
      <c r="B68" s="2" t="s">
        <v>30</v>
      </c>
      <c r="C68" s="2" t="s">
        <v>307</v>
      </c>
      <c r="D68" s="78">
        <v>112</v>
      </c>
      <c r="E68" s="82">
        <v>311.5</v>
      </c>
      <c r="F68" s="82">
        <v>52</v>
      </c>
    </row>
    <row r="69" spans="2:9" s="70" customFormat="1" ht="63" x14ac:dyDescent="0.25">
      <c r="B69" s="2"/>
      <c r="C69" s="60" t="s">
        <v>308</v>
      </c>
      <c r="D69" s="78">
        <v>2310.3000000000002</v>
      </c>
      <c r="E69" s="82">
        <v>3329.9</v>
      </c>
      <c r="F69" s="82">
        <v>3600</v>
      </c>
    </row>
    <row r="70" spans="2:9" s="70" customFormat="1" ht="63" x14ac:dyDescent="0.25">
      <c r="B70" s="2"/>
      <c r="C70" s="2" t="s">
        <v>332</v>
      </c>
      <c r="D70" s="78">
        <v>0</v>
      </c>
      <c r="E70" s="78">
        <v>33.700000000000003</v>
      </c>
      <c r="F70" s="78">
        <v>22.1</v>
      </c>
    </row>
    <row r="71" spans="2:9" s="70" customFormat="1" ht="31.5" x14ac:dyDescent="0.25">
      <c r="B71" s="2" t="s">
        <v>31</v>
      </c>
      <c r="C71" s="2" t="s">
        <v>331</v>
      </c>
      <c r="D71" s="78">
        <v>2043.5</v>
      </c>
      <c r="E71" s="78">
        <v>1997</v>
      </c>
      <c r="F71" s="78">
        <v>2341.8000000000002</v>
      </c>
    </row>
    <row r="72" spans="2:9" s="70" customFormat="1" x14ac:dyDescent="0.25">
      <c r="B72" s="2" t="s">
        <v>33</v>
      </c>
      <c r="C72" s="2" t="s">
        <v>32</v>
      </c>
      <c r="D72" s="78">
        <f>SUM(D74:D80)</f>
        <v>590265.4</v>
      </c>
      <c r="E72" s="78">
        <f t="shared" ref="E72:F72" si="1">SUM(E74:E80)</f>
        <v>627274.60000000009</v>
      </c>
      <c r="F72" s="78">
        <f t="shared" si="1"/>
        <v>651194.20000000007</v>
      </c>
    </row>
    <row r="73" spans="2:9" s="70" customFormat="1" x14ac:dyDescent="0.25">
      <c r="C73" s="2" t="s">
        <v>26</v>
      </c>
      <c r="D73" s="78"/>
      <c r="E73" s="78"/>
      <c r="F73" s="78"/>
      <c r="H73" s="197"/>
      <c r="I73" s="197"/>
    </row>
    <row r="74" spans="2:9" s="70" customFormat="1" x14ac:dyDescent="0.25">
      <c r="B74" s="2"/>
      <c r="C74" s="2" t="s">
        <v>34</v>
      </c>
      <c r="D74" s="78">
        <v>258.5</v>
      </c>
      <c r="E74" s="78">
        <v>288.60000000000002</v>
      </c>
      <c r="F74" s="78">
        <v>288.60000000000002</v>
      </c>
      <c r="H74" s="62"/>
      <c r="I74" s="197"/>
    </row>
    <row r="75" spans="2:9" s="70" customFormat="1" x14ac:dyDescent="0.25">
      <c r="B75" s="2"/>
      <c r="C75" s="2" t="s">
        <v>36</v>
      </c>
      <c r="D75" s="78">
        <v>274.39999999999998</v>
      </c>
      <c r="E75" s="78">
        <v>281.8</v>
      </c>
      <c r="F75" s="78">
        <v>281.8</v>
      </c>
      <c r="H75" s="62"/>
      <c r="I75" s="197"/>
    </row>
    <row r="76" spans="2:9" s="70" customFormat="1" ht="18.75" customHeight="1" x14ac:dyDescent="0.25">
      <c r="B76" s="2"/>
      <c r="C76" s="2" t="s">
        <v>35</v>
      </c>
      <c r="D76" s="78">
        <v>2038.9</v>
      </c>
      <c r="E76" s="78">
        <v>1818.3</v>
      </c>
      <c r="F76" s="78">
        <v>1880.8</v>
      </c>
      <c r="H76" s="62"/>
      <c r="I76" s="197"/>
    </row>
    <row r="77" spans="2:9" s="70" customFormat="1" ht="47.25" x14ac:dyDescent="0.25">
      <c r="B77" s="2"/>
      <c r="C77" s="2" t="s">
        <v>309</v>
      </c>
      <c r="D77" s="78">
        <v>5164.8</v>
      </c>
      <c r="E77" s="78">
        <v>5415.6</v>
      </c>
      <c r="F77" s="78">
        <v>5415.6</v>
      </c>
      <c r="H77" s="62"/>
      <c r="I77" s="197"/>
    </row>
    <row r="78" spans="2:9" s="70" customFormat="1" ht="31.5" x14ac:dyDescent="0.25">
      <c r="B78" s="2"/>
      <c r="C78" s="2" t="s">
        <v>310</v>
      </c>
      <c r="D78" s="78">
        <v>1258.5</v>
      </c>
      <c r="E78" s="78">
        <v>1296</v>
      </c>
      <c r="F78" s="78">
        <v>1226</v>
      </c>
      <c r="H78" s="62"/>
      <c r="I78" s="197"/>
    </row>
    <row r="79" spans="2:9" s="70" customFormat="1" ht="31.5" hidden="1" x14ac:dyDescent="0.25">
      <c r="B79" s="2"/>
      <c r="C79" s="2" t="s">
        <v>311</v>
      </c>
      <c r="D79" s="78"/>
      <c r="E79" s="78">
        <v>0</v>
      </c>
      <c r="F79" s="78"/>
      <c r="H79" s="62"/>
      <c r="I79" s="197"/>
    </row>
    <row r="80" spans="2:9" s="70" customFormat="1" ht="126" x14ac:dyDescent="0.25">
      <c r="B80" s="2"/>
      <c r="C80" s="2" t="s">
        <v>37</v>
      </c>
      <c r="D80" s="78">
        <v>581270.30000000005</v>
      </c>
      <c r="E80" s="78">
        <v>618174.30000000005</v>
      </c>
      <c r="F80" s="78">
        <v>642101.4</v>
      </c>
      <c r="H80" s="62"/>
      <c r="I80" s="197"/>
    </row>
    <row r="81" spans="1:9" s="70" customFormat="1" x14ac:dyDescent="0.25">
      <c r="B81" s="2"/>
      <c r="C81" s="122" t="s">
        <v>403</v>
      </c>
      <c r="D81" s="80">
        <f>SUM(D82:D86)</f>
        <v>20146.099999999999</v>
      </c>
      <c r="E81" s="80">
        <f>SUM(E82:E86)</f>
        <v>25858.5</v>
      </c>
      <c r="F81" s="80">
        <f>SUM(F82:F86)</f>
        <v>32987.1</v>
      </c>
      <c r="H81" s="62"/>
      <c r="I81" s="197"/>
    </row>
    <row r="82" spans="1:9" s="70" customFormat="1" ht="63" x14ac:dyDescent="0.25">
      <c r="B82" s="2"/>
      <c r="C82" s="2" t="s">
        <v>453</v>
      </c>
      <c r="D82" s="78">
        <v>12768.3</v>
      </c>
      <c r="E82" s="181">
        <v>13358.5</v>
      </c>
      <c r="F82" s="181">
        <v>13358.5</v>
      </c>
      <c r="H82" s="62"/>
      <c r="I82" s="197"/>
    </row>
    <row r="83" spans="1:9" s="70" customFormat="1" ht="47.25" hidden="1" x14ac:dyDescent="0.25">
      <c r="B83" s="2"/>
      <c r="C83" s="2" t="s">
        <v>523</v>
      </c>
      <c r="D83" s="78"/>
      <c r="E83" s="78">
        <v>0</v>
      </c>
      <c r="F83" s="78"/>
      <c r="H83" s="62"/>
      <c r="I83" s="197"/>
    </row>
    <row r="84" spans="1:9" s="70" customFormat="1" ht="31.5" x14ac:dyDescent="0.25">
      <c r="B84" s="2"/>
      <c r="C84" s="2" t="s">
        <v>532</v>
      </c>
      <c r="D84" s="78">
        <v>0</v>
      </c>
      <c r="E84" s="78">
        <v>5000</v>
      </c>
      <c r="F84" s="78">
        <v>5000</v>
      </c>
      <c r="H84" s="62"/>
      <c r="I84" s="197"/>
    </row>
    <row r="85" spans="1:9" s="70" customFormat="1" ht="63" x14ac:dyDescent="0.25">
      <c r="B85" s="2"/>
      <c r="C85" s="121" t="s">
        <v>533</v>
      </c>
      <c r="D85" s="78">
        <v>0</v>
      </c>
      <c r="E85" s="78">
        <v>7500</v>
      </c>
      <c r="F85" s="78">
        <v>8412.6</v>
      </c>
      <c r="H85" s="62"/>
      <c r="I85" s="197"/>
    </row>
    <row r="86" spans="1:9" s="70" customFormat="1" x14ac:dyDescent="0.25">
      <c r="B86" s="2"/>
      <c r="C86" s="122" t="s">
        <v>457</v>
      </c>
      <c r="D86" s="78">
        <f>SUM(D87:D90)</f>
        <v>7377.8</v>
      </c>
      <c r="E86" s="78">
        <f>SUM(E87:E90)</f>
        <v>0</v>
      </c>
      <c r="F86" s="78">
        <f>SUM(F87:F90)</f>
        <v>6216</v>
      </c>
      <c r="H86" s="62"/>
      <c r="I86" s="197"/>
    </row>
    <row r="87" spans="1:9" s="70" customFormat="1" ht="47.25" hidden="1" x14ac:dyDescent="0.25">
      <c r="B87" s="2"/>
      <c r="C87" s="121" t="s">
        <v>458</v>
      </c>
      <c r="D87" s="78"/>
      <c r="E87" s="78">
        <v>0</v>
      </c>
      <c r="F87" s="78">
        <v>0</v>
      </c>
      <c r="H87" s="62"/>
      <c r="I87" s="197"/>
    </row>
    <row r="88" spans="1:9" s="70" customFormat="1" ht="31.5" hidden="1" x14ac:dyDescent="0.25">
      <c r="B88" s="2"/>
      <c r="C88" s="121" t="s">
        <v>459</v>
      </c>
      <c r="D88" s="78"/>
      <c r="E88" s="78">
        <v>0</v>
      </c>
      <c r="F88" s="78">
        <v>0</v>
      </c>
      <c r="H88" s="62"/>
      <c r="I88" s="197"/>
    </row>
    <row r="89" spans="1:9" s="70" customFormat="1" ht="47.25" x14ac:dyDescent="0.25">
      <c r="B89" s="2"/>
      <c r="C89" s="121" t="s">
        <v>460</v>
      </c>
      <c r="D89" s="78">
        <v>4937.8</v>
      </c>
      <c r="E89" s="181">
        <v>0</v>
      </c>
      <c r="F89" s="181">
        <v>3837</v>
      </c>
      <c r="H89" s="62"/>
      <c r="I89" s="197"/>
    </row>
    <row r="90" spans="1:9" s="70" customFormat="1" ht="31.5" x14ac:dyDescent="0.25">
      <c r="B90" s="2"/>
      <c r="C90" s="121" t="s">
        <v>627</v>
      </c>
      <c r="D90" s="78">
        <v>2440</v>
      </c>
      <c r="E90" s="78">
        <v>0</v>
      </c>
      <c r="F90" s="78">
        <v>2379</v>
      </c>
      <c r="H90" s="62"/>
      <c r="I90" s="197"/>
    </row>
    <row r="91" spans="1:9" s="70" customFormat="1" ht="32.25" customHeight="1" x14ac:dyDescent="0.25">
      <c r="B91" s="2"/>
      <c r="C91" s="3" t="s">
        <v>556</v>
      </c>
      <c r="D91" s="79">
        <v>0</v>
      </c>
      <c r="E91" s="79">
        <v>0</v>
      </c>
      <c r="F91" s="79">
        <v>0</v>
      </c>
      <c r="H91" s="62"/>
      <c r="I91" s="197"/>
    </row>
    <row r="92" spans="1:9" s="70" customFormat="1" ht="47.25" x14ac:dyDescent="0.25">
      <c r="B92" s="2"/>
      <c r="C92" s="198" t="s">
        <v>404</v>
      </c>
      <c r="D92" s="79">
        <v>0</v>
      </c>
      <c r="E92" s="79">
        <v>0</v>
      </c>
      <c r="F92" s="79">
        <v>0</v>
      </c>
      <c r="H92" s="62"/>
      <c r="I92" s="197"/>
    </row>
    <row r="93" spans="1:9" s="84" customFormat="1" ht="31.5" x14ac:dyDescent="0.25">
      <c r="B93" s="199" t="s">
        <v>38</v>
      </c>
      <c r="C93" s="61" t="s">
        <v>170</v>
      </c>
      <c r="D93" s="79">
        <v>-88.8</v>
      </c>
      <c r="E93" s="79">
        <v>0</v>
      </c>
      <c r="F93" s="79">
        <v>-210</v>
      </c>
      <c r="I93" s="70"/>
    </row>
    <row r="94" spans="1:9" s="70" customFormat="1" x14ac:dyDescent="0.25">
      <c r="B94" s="3" t="s">
        <v>39</v>
      </c>
      <c r="C94" s="3"/>
      <c r="D94" s="80">
        <f>SUM(D4,D19)</f>
        <v>2127764.4000000004</v>
      </c>
      <c r="E94" s="80">
        <f>SUM(E4,E19)</f>
        <v>1793946.9</v>
      </c>
      <c r="F94" s="80">
        <f>SUM(F4,F19)</f>
        <v>1955998.6</v>
      </c>
    </row>
    <row r="95" spans="1:9" s="70" customFormat="1" x14ac:dyDescent="0.25">
      <c r="E95" s="123"/>
    </row>
    <row r="96" spans="1:9" s="70" customFormat="1" ht="39" customHeight="1" x14ac:dyDescent="0.3">
      <c r="A96" s="84"/>
      <c r="B96" s="200"/>
      <c r="C96" s="269" t="s">
        <v>157</v>
      </c>
      <c r="D96" s="269"/>
      <c r="E96" s="269"/>
      <c r="F96" s="269"/>
    </row>
    <row r="97" spans="1:6" s="70" customFormat="1" x14ac:dyDescent="0.25">
      <c r="A97" s="84"/>
      <c r="B97" s="84"/>
      <c r="C97" s="84"/>
      <c r="D97" s="84"/>
      <c r="E97" s="124"/>
      <c r="F97" s="85" t="s">
        <v>40</v>
      </c>
    </row>
    <row r="98" spans="1:6" s="70" customFormat="1" ht="63" x14ac:dyDescent="0.25">
      <c r="A98" s="84"/>
      <c r="B98" s="84"/>
      <c r="C98" s="22" t="s">
        <v>156</v>
      </c>
      <c r="D98" s="72" t="s">
        <v>547</v>
      </c>
      <c r="E98" s="72" t="s">
        <v>548</v>
      </c>
      <c r="F98" s="73" t="s">
        <v>549</v>
      </c>
    </row>
    <row r="99" spans="1:6" s="70" customFormat="1" x14ac:dyDescent="0.25">
      <c r="A99" s="201" t="s">
        <v>44</v>
      </c>
      <c r="B99" s="201" t="s">
        <v>45</v>
      </c>
      <c r="C99" s="9" t="s">
        <v>43</v>
      </c>
      <c r="D99" s="86">
        <f>SUM(D100:D107)</f>
        <v>258873</v>
      </c>
      <c r="E99" s="86">
        <f>SUM(E100:E107)</f>
        <v>274159.09999999998</v>
      </c>
      <c r="F99" s="86">
        <f>SUM(F100:F107)</f>
        <v>324508.30000000005</v>
      </c>
    </row>
    <row r="100" spans="1:6" s="70" customFormat="1" ht="31.5" x14ac:dyDescent="0.25">
      <c r="A100" s="202" t="s">
        <v>44</v>
      </c>
      <c r="B100" s="202" t="s">
        <v>47</v>
      </c>
      <c r="C100" s="20" t="s">
        <v>46</v>
      </c>
      <c r="D100" s="87">
        <v>6435.6</v>
      </c>
      <c r="E100" s="87">
        <v>6054.9</v>
      </c>
      <c r="F100" s="87">
        <v>8391.6</v>
      </c>
    </row>
    <row r="101" spans="1:6" s="70" customFormat="1" ht="47.25" x14ac:dyDescent="0.25">
      <c r="A101" s="202" t="s">
        <v>44</v>
      </c>
      <c r="B101" s="202" t="s">
        <v>61</v>
      </c>
      <c r="C101" s="20" t="s">
        <v>109</v>
      </c>
      <c r="D101" s="87">
        <v>0</v>
      </c>
      <c r="E101" s="87">
        <v>50</v>
      </c>
      <c r="F101" s="87">
        <v>0</v>
      </c>
    </row>
    <row r="102" spans="1:6" s="70" customFormat="1" ht="47.25" x14ac:dyDescent="0.25">
      <c r="A102" s="202" t="s">
        <v>44</v>
      </c>
      <c r="B102" s="202" t="s">
        <v>51</v>
      </c>
      <c r="C102" s="20" t="s">
        <v>50</v>
      </c>
      <c r="D102" s="87">
        <v>81286.5</v>
      </c>
      <c r="E102" s="87">
        <v>79026.200000000012</v>
      </c>
      <c r="F102" s="87">
        <v>90411.9</v>
      </c>
    </row>
    <row r="103" spans="1:6" s="70" customFormat="1" x14ac:dyDescent="0.25">
      <c r="A103" s="202" t="s">
        <v>44</v>
      </c>
      <c r="B103" s="202" t="s">
        <v>54</v>
      </c>
      <c r="C103" s="19" t="s">
        <v>53</v>
      </c>
      <c r="D103" s="87">
        <v>0</v>
      </c>
      <c r="E103" s="87">
        <v>33.700000000000003</v>
      </c>
      <c r="F103" s="87">
        <v>22.1</v>
      </c>
    </row>
    <row r="104" spans="1:6" s="70" customFormat="1" ht="31.5" x14ac:dyDescent="0.25">
      <c r="A104" s="202" t="s">
        <v>44</v>
      </c>
      <c r="B104" s="202" t="s">
        <v>85</v>
      </c>
      <c r="C104" s="20" t="s">
        <v>84</v>
      </c>
      <c r="D104" s="87">
        <v>40148</v>
      </c>
      <c r="E104" s="87">
        <v>41484.199999999997</v>
      </c>
      <c r="F104" s="87">
        <v>49693.7</v>
      </c>
    </row>
    <row r="105" spans="1:6" s="70" customFormat="1" x14ac:dyDescent="0.25">
      <c r="A105" s="202" t="s">
        <v>44</v>
      </c>
      <c r="B105" s="202" t="s">
        <v>94</v>
      </c>
      <c r="C105" s="20" t="s">
        <v>112</v>
      </c>
      <c r="D105" s="87">
        <v>5339.2</v>
      </c>
      <c r="E105" s="87">
        <v>4069.3</v>
      </c>
      <c r="F105" s="87">
        <v>6013.7</v>
      </c>
    </row>
    <row r="106" spans="1:6" s="70" customFormat="1" x14ac:dyDescent="0.25">
      <c r="A106" s="202" t="s">
        <v>44</v>
      </c>
      <c r="B106" s="202" t="s">
        <v>87</v>
      </c>
      <c r="C106" s="20" t="s">
        <v>86</v>
      </c>
      <c r="D106" s="87">
        <v>0</v>
      </c>
      <c r="E106" s="87">
        <v>13589.2</v>
      </c>
      <c r="F106" s="87">
        <v>1428.7</v>
      </c>
    </row>
    <row r="107" spans="1:6" s="70" customFormat="1" x14ac:dyDescent="0.25">
      <c r="A107" s="202" t="s">
        <v>44</v>
      </c>
      <c r="B107" s="202" t="s">
        <v>58</v>
      </c>
      <c r="C107" s="20" t="s">
        <v>57</v>
      </c>
      <c r="D107" s="87">
        <v>125663.7</v>
      </c>
      <c r="E107" s="87">
        <v>129851.59999999999</v>
      </c>
      <c r="F107" s="87">
        <v>168546.6</v>
      </c>
    </row>
    <row r="108" spans="1:6" s="70" customFormat="1" x14ac:dyDescent="0.25">
      <c r="A108" s="201" t="s">
        <v>61</v>
      </c>
      <c r="B108" s="201" t="s">
        <v>45</v>
      </c>
      <c r="C108" s="63" t="s">
        <v>63</v>
      </c>
      <c r="D108" s="86">
        <f>SUM(D109:D113)</f>
        <v>11532.600000000002</v>
      </c>
      <c r="E108" s="86">
        <f>SUM(E109:E113)</f>
        <v>13639.4</v>
      </c>
      <c r="F108" s="86">
        <f>SUM(F109:F113)</f>
        <v>15878.3</v>
      </c>
    </row>
    <row r="109" spans="1:6" s="70" customFormat="1" x14ac:dyDescent="0.25">
      <c r="A109" s="202" t="s">
        <v>61</v>
      </c>
      <c r="B109" s="202" t="s">
        <v>51</v>
      </c>
      <c r="C109" s="19" t="s">
        <v>64</v>
      </c>
      <c r="D109" s="87">
        <v>2210</v>
      </c>
      <c r="E109" s="87">
        <v>1997</v>
      </c>
      <c r="F109" s="87">
        <v>2535.1999999999998</v>
      </c>
    </row>
    <row r="110" spans="1:6" s="70" customFormat="1" x14ac:dyDescent="0.25">
      <c r="A110" s="202" t="s">
        <v>61</v>
      </c>
      <c r="B110" s="202" t="s">
        <v>72</v>
      </c>
      <c r="C110" s="19" t="s">
        <v>527</v>
      </c>
      <c r="D110" s="87">
        <v>7072.6</v>
      </c>
      <c r="E110" s="87">
        <v>0</v>
      </c>
      <c r="F110" s="87"/>
    </row>
    <row r="111" spans="1:6" s="70" customFormat="1" hidden="1" x14ac:dyDescent="0.25">
      <c r="A111" s="202" t="s">
        <v>61</v>
      </c>
      <c r="B111" s="202" t="s">
        <v>66</v>
      </c>
      <c r="C111" s="19" t="s">
        <v>65</v>
      </c>
      <c r="D111" s="87"/>
      <c r="E111" s="87">
        <v>0</v>
      </c>
      <c r="F111" s="87"/>
    </row>
    <row r="112" spans="1:6" s="70" customFormat="1" ht="31.5" x14ac:dyDescent="0.25">
      <c r="A112" s="202"/>
      <c r="B112" s="202"/>
      <c r="C112" s="19" t="s">
        <v>534</v>
      </c>
      <c r="D112" s="87">
        <v>2140.3000000000002</v>
      </c>
      <c r="E112" s="87">
        <v>11532.4</v>
      </c>
      <c r="F112" s="87">
        <v>13233.1</v>
      </c>
    </row>
    <row r="113" spans="1:6" s="70" customFormat="1" ht="31.5" x14ac:dyDescent="0.25">
      <c r="A113" s="202" t="s">
        <v>61</v>
      </c>
      <c r="B113" s="202" t="s">
        <v>153</v>
      </c>
      <c r="C113" s="19" t="s">
        <v>67</v>
      </c>
      <c r="D113" s="87">
        <v>109.7</v>
      </c>
      <c r="E113" s="87">
        <v>110</v>
      </c>
      <c r="F113" s="87">
        <v>110</v>
      </c>
    </row>
    <row r="114" spans="1:6" s="70" customFormat="1" x14ac:dyDescent="0.25">
      <c r="A114" s="201" t="s">
        <v>51</v>
      </c>
      <c r="B114" s="201" t="s">
        <v>45</v>
      </c>
      <c r="C114" s="9" t="s">
        <v>68</v>
      </c>
      <c r="D114" s="86">
        <f>SUM(D115:D117)</f>
        <v>157987.6</v>
      </c>
      <c r="E114" s="86">
        <f>SUM(E115:E117)</f>
        <v>117713.59999999999</v>
      </c>
      <c r="F114" s="86">
        <f>SUM(F115:F117)</f>
        <v>183719.2</v>
      </c>
    </row>
    <row r="115" spans="1:6" s="70" customFormat="1" x14ac:dyDescent="0.25">
      <c r="A115" s="202" t="s">
        <v>51</v>
      </c>
      <c r="B115" s="202" t="s">
        <v>70</v>
      </c>
      <c r="C115" s="19" t="s">
        <v>69</v>
      </c>
      <c r="D115" s="87">
        <v>19674.7</v>
      </c>
      <c r="E115" s="112">
        <v>21357.9</v>
      </c>
      <c r="F115" s="112">
        <v>20816.099999999999</v>
      </c>
    </row>
    <row r="116" spans="1:6" s="70" customFormat="1" x14ac:dyDescent="0.25">
      <c r="A116" s="202" t="s">
        <v>51</v>
      </c>
      <c r="B116" s="202" t="s">
        <v>72</v>
      </c>
      <c r="C116" s="20" t="s">
        <v>71</v>
      </c>
      <c r="D116" s="87">
        <v>40426.800000000003</v>
      </c>
      <c r="E116" s="112">
        <v>24989.9</v>
      </c>
      <c r="F116" s="112">
        <v>39867.599999999999</v>
      </c>
    </row>
    <row r="117" spans="1:6" s="70" customFormat="1" x14ac:dyDescent="0.25">
      <c r="A117" s="202" t="s">
        <v>51</v>
      </c>
      <c r="B117" s="202" t="s">
        <v>74</v>
      </c>
      <c r="C117" s="19" t="s">
        <v>73</v>
      </c>
      <c r="D117" s="87">
        <v>97886.1</v>
      </c>
      <c r="E117" s="112">
        <v>71365.799999999988</v>
      </c>
      <c r="F117" s="112">
        <v>123035.5</v>
      </c>
    </row>
    <row r="118" spans="1:6" s="70" customFormat="1" x14ac:dyDescent="0.25">
      <c r="A118" s="201" t="s">
        <v>54</v>
      </c>
      <c r="B118" s="201" t="s">
        <v>45</v>
      </c>
      <c r="C118" s="9" t="s">
        <v>75</v>
      </c>
      <c r="D118" s="86">
        <f>SUM(D119:D122)</f>
        <v>609528.19999999995</v>
      </c>
      <c r="E118" s="86">
        <f>SUM(E119:E122)</f>
        <v>264309.2</v>
      </c>
      <c r="F118" s="86">
        <f>SUM(F119:F122)</f>
        <v>313576.59999999998</v>
      </c>
    </row>
    <row r="119" spans="1:6" s="70" customFormat="1" x14ac:dyDescent="0.25">
      <c r="A119" s="202" t="s">
        <v>54</v>
      </c>
      <c r="B119" s="202" t="s">
        <v>44</v>
      </c>
      <c r="C119" s="20" t="s">
        <v>76</v>
      </c>
      <c r="D119" s="87">
        <v>31456.7</v>
      </c>
      <c r="E119" s="112">
        <v>122909.1</v>
      </c>
      <c r="F119" s="112">
        <v>103023.5</v>
      </c>
    </row>
    <row r="120" spans="1:6" s="70" customFormat="1" x14ac:dyDescent="0.25">
      <c r="A120" s="202" t="s">
        <v>54</v>
      </c>
      <c r="B120" s="202" t="s">
        <v>47</v>
      </c>
      <c r="C120" s="20" t="s">
        <v>77</v>
      </c>
      <c r="D120" s="87">
        <v>112832</v>
      </c>
      <c r="E120" s="112">
        <v>86946.6</v>
      </c>
      <c r="F120" s="112">
        <v>161861.1</v>
      </c>
    </row>
    <row r="121" spans="1:6" s="70" customFormat="1" x14ac:dyDescent="0.25">
      <c r="A121" s="202" t="s">
        <v>54</v>
      </c>
      <c r="B121" s="202" t="s">
        <v>61</v>
      </c>
      <c r="C121" s="20" t="s">
        <v>80</v>
      </c>
      <c r="D121" s="87">
        <v>41785.4</v>
      </c>
      <c r="E121" s="112">
        <v>34827.800000000003</v>
      </c>
      <c r="F121" s="112">
        <v>31546.400000000001</v>
      </c>
    </row>
    <row r="122" spans="1:6" s="70" customFormat="1" x14ac:dyDescent="0.25">
      <c r="A122" s="202" t="s">
        <v>54</v>
      </c>
      <c r="B122" s="202" t="s">
        <v>54</v>
      </c>
      <c r="C122" s="20" t="s">
        <v>81</v>
      </c>
      <c r="D122" s="87">
        <v>423454.1</v>
      </c>
      <c r="E122" s="112">
        <v>19625.7</v>
      </c>
      <c r="F122" s="112">
        <v>17145.599999999999</v>
      </c>
    </row>
    <row r="123" spans="1:6" s="70" customFormat="1" x14ac:dyDescent="0.25">
      <c r="A123" s="201" t="s">
        <v>94</v>
      </c>
      <c r="B123" s="201" t="s">
        <v>45</v>
      </c>
      <c r="C123" s="9" t="s">
        <v>93</v>
      </c>
      <c r="D123" s="86">
        <f>SUM(D124:D128)</f>
        <v>830257.1</v>
      </c>
      <c r="E123" s="86">
        <f>SUM(E124:E128)</f>
        <v>853101.59999999974</v>
      </c>
      <c r="F123" s="86">
        <f>SUM(F124:F128)</f>
        <v>948208.50000000012</v>
      </c>
    </row>
    <row r="124" spans="1:6" s="70" customFormat="1" x14ac:dyDescent="0.25">
      <c r="A124" s="202" t="s">
        <v>94</v>
      </c>
      <c r="B124" s="202" t="s">
        <v>44</v>
      </c>
      <c r="C124" s="20" t="s">
        <v>95</v>
      </c>
      <c r="D124" s="87">
        <v>84026.3</v>
      </c>
      <c r="E124" s="112">
        <v>91918.099999999991</v>
      </c>
      <c r="F124" s="112">
        <v>95317.5</v>
      </c>
    </row>
    <row r="125" spans="1:6" s="70" customFormat="1" x14ac:dyDescent="0.25">
      <c r="A125" s="202" t="s">
        <v>94</v>
      </c>
      <c r="B125" s="202" t="s">
        <v>47</v>
      </c>
      <c r="C125" s="20" t="s">
        <v>96</v>
      </c>
      <c r="D125" s="87">
        <v>578195.69999999995</v>
      </c>
      <c r="E125" s="112">
        <v>605749.59999999986</v>
      </c>
      <c r="F125" s="112">
        <v>639779.4</v>
      </c>
    </row>
    <row r="126" spans="1:6" s="70" customFormat="1" x14ac:dyDescent="0.25">
      <c r="A126" s="202" t="s">
        <v>94</v>
      </c>
      <c r="B126" s="202" t="s">
        <v>61</v>
      </c>
      <c r="C126" s="20" t="s">
        <v>154</v>
      </c>
      <c r="D126" s="87">
        <v>104054.7</v>
      </c>
      <c r="E126" s="112">
        <v>112242.6</v>
      </c>
      <c r="F126" s="112">
        <v>147196.5</v>
      </c>
    </row>
    <row r="127" spans="1:6" s="70" customFormat="1" x14ac:dyDescent="0.25">
      <c r="A127" s="202" t="s">
        <v>94</v>
      </c>
      <c r="B127" s="202" t="s">
        <v>94</v>
      </c>
      <c r="C127" s="20" t="s">
        <v>405</v>
      </c>
      <c r="D127" s="87">
        <v>11873.1</v>
      </c>
      <c r="E127" s="112">
        <v>17187.099999999999</v>
      </c>
      <c r="F127" s="112">
        <v>18894.3</v>
      </c>
    </row>
    <row r="128" spans="1:6" s="70" customFormat="1" x14ac:dyDescent="0.25">
      <c r="A128" s="202" t="s">
        <v>94</v>
      </c>
      <c r="B128" s="202" t="s">
        <v>72</v>
      </c>
      <c r="C128" s="20" t="s">
        <v>97</v>
      </c>
      <c r="D128" s="87">
        <v>52107.3</v>
      </c>
      <c r="E128" s="112">
        <v>26004.199999999997</v>
      </c>
      <c r="F128" s="112">
        <v>47020.799999999996</v>
      </c>
    </row>
    <row r="129" spans="1:6" s="70" customFormat="1" x14ac:dyDescent="0.25">
      <c r="A129" s="201" t="s">
        <v>70</v>
      </c>
      <c r="B129" s="201" t="s">
        <v>45</v>
      </c>
      <c r="C129" s="9" t="s">
        <v>98</v>
      </c>
      <c r="D129" s="86">
        <f>SUM(D130:D132)</f>
        <v>137273</v>
      </c>
      <c r="E129" s="86">
        <f>SUM(E130)</f>
        <v>169744.2</v>
      </c>
      <c r="F129" s="86">
        <f>SUM(F130)</f>
        <v>179137.4</v>
      </c>
    </row>
    <row r="130" spans="1:6" s="70" customFormat="1" x14ac:dyDescent="0.25">
      <c r="A130" s="202" t="s">
        <v>70</v>
      </c>
      <c r="B130" s="202" t="s">
        <v>44</v>
      </c>
      <c r="C130" s="20" t="s">
        <v>99</v>
      </c>
      <c r="D130" s="87">
        <v>137273</v>
      </c>
      <c r="E130" s="87">
        <v>169744.2</v>
      </c>
      <c r="F130" s="87">
        <v>179137.4</v>
      </c>
    </row>
    <row r="131" spans="1:6" s="70" customFormat="1" x14ac:dyDescent="0.25">
      <c r="A131" s="202"/>
      <c r="B131" s="202"/>
      <c r="C131" s="63" t="s">
        <v>333</v>
      </c>
      <c r="D131" s="86">
        <f>SUM(D132)</f>
        <v>0</v>
      </c>
      <c r="E131" s="86">
        <f t="shared" ref="E131:F131" si="2">SUM(E132)</f>
        <v>0</v>
      </c>
      <c r="F131" s="86">
        <f t="shared" si="2"/>
        <v>0</v>
      </c>
    </row>
    <row r="132" spans="1:6" s="70" customFormat="1" x14ac:dyDescent="0.25">
      <c r="A132" s="202"/>
      <c r="B132" s="202"/>
      <c r="C132" s="20" t="s">
        <v>334</v>
      </c>
      <c r="D132" s="87">
        <v>0</v>
      </c>
      <c r="E132" s="87">
        <v>0</v>
      </c>
      <c r="F132" s="87">
        <v>0</v>
      </c>
    </row>
    <row r="133" spans="1:6" s="70" customFormat="1" x14ac:dyDescent="0.25">
      <c r="A133" s="201" t="s">
        <v>66</v>
      </c>
      <c r="B133" s="201" t="s">
        <v>45</v>
      </c>
      <c r="C133" s="14" t="s">
        <v>82</v>
      </c>
      <c r="D133" s="86">
        <f>SUM(D134:D137)</f>
        <v>37817.9</v>
      </c>
      <c r="E133" s="86">
        <f>SUM(E134:E137)</f>
        <v>29747.1</v>
      </c>
      <c r="F133" s="86">
        <f>SUM(F134:F137)</f>
        <v>46614.8</v>
      </c>
    </row>
    <row r="134" spans="1:6" s="70" customFormat="1" x14ac:dyDescent="0.25">
      <c r="A134" s="202" t="s">
        <v>66</v>
      </c>
      <c r="B134" s="202" t="s">
        <v>44</v>
      </c>
      <c r="C134" s="20" t="s">
        <v>91</v>
      </c>
      <c r="D134" s="87">
        <v>10364.799999999999</v>
      </c>
      <c r="E134" s="112">
        <v>10373.9</v>
      </c>
      <c r="F134" s="112">
        <v>11626.3</v>
      </c>
    </row>
    <row r="135" spans="1:6" s="70" customFormat="1" x14ac:dyDescent="0.25">
      <c r="A135" s="202" t="s">
        <v>66</v>
      </c>
      <c r="B135" s="202" t="s">
        <v>61</v>
      </c>
      <c r="C135" s="10" t="s">
        <v>83</v>
      </c>
      <c r="D135" s="87">
        <v>2247.1</v>
      </c>
      <c r="E135" s="112">
        <v>0</v>
      </c>
      <c r="F135" s="112">
        <v>2300</v>
      </c>
    </row>
    <row r="136" spans="1:6" s="70" customFormat="1" x14ac:dyDescent="0.25">
      <c r="A136" s="202" t="s">
        <v>66</v>
      </c>
      <c r="B136" s="202" t="s">
        <v>51</v>
      </c>
      <c r="C136" s="19" t="s">
        <v>100</v>
      </c>
      <c r="D136" s="87">
        <v>2422.3000000000002</v>
      </c>
      <c r="E136" s="112">
        <v>3641.4</v>
      </c>
      <c r="F136" s="112">
        <v>3652</v>
      </c>
    </row>
    <row r="137" spans="1:6" s="70" customFormat="1" x14ac:dyDescent="0.25">
      <c r="A137" s="202" t="s">
        <v>66</v>
      </c>
      <c r="B137" s="202" t="s">
        <v>85</v>
      </c>
      <c r="C137" s="20" t="s">
        <v>101</v>
      </c>
      <c r="D137" s="87">
        <v>22783.7</v>
      </c>
      <c r="E137" s="112">
        <v>15731.800000000001</v>
      </c>
      <c r="F137" s="112">
        <v>29036.5</v>
      </c>
    </row>
    <row r="138" spans="1:6" s="70" customFormat="1" x14ac:dyDescent="0.25">
      <c r="A138" s="201" t="s">
        <v>87</v>
      </c>
      <c r="B138" s="201" t="s">
        <v>45</v>
      </c>
      <c r="C138" s="9" t="s">
        <v>103</v>
      </c>
      <c r="D138" s="86">
        <f>SUM(D139:D140)</f>
        <v>47993.4</v>
      </c>
      <c r="E138" s="86">
        <f>SUM(E139:E140)</f>
        <v>43504.7</v>
      </c>
      <c r="F138" s="86">
        <f>SUM(F139:F140)</f>
        <v>49708.2</v>
      </c>
    </row>
    <row r="139" spans="1:6" s="70" customFormat="1" x14ac:dyDescent="0.25">
      <c r="A139" s="202" t="s">
        <v>87</v>
      </c>
      <c r="B139" s="202" t="s">
        <v>44</v>
      </c>
      <c r="C139" s="20" t="s">
        <v>104</v>
      </c>
      <c r="D139" s="87">
        <v>30597.5</v>
      </c>
      <c r="E139" s="112">
        <v>32644.5</v>
      </c>
      <c r="F139" s="112">
        <v>32198.6</v>
      </c>
    </row>
    <row r="140" spans="1:6" s="70" customFormat="1" x14ac:dyDescent="0.25">
      <c r="A140" s="202" t="s">
        <v>87</v>
      </c>
      <c r="B140" s="202" t="s">
        <v>47</v>
      </c>
      <c r="C140" s="20" t="s">
        <v>107</v>
      </c>
      <c r="D140" s="87">
        <v>17395.900000000001</v>
      </c>
      <c r="E140" s="112">
        <v>10860.199999999999</v>
      </c>
      <c r="F140" s="112">
        <v>17509.599999999999</v>
      </c>
    </row>
    <row r="141" spans="1:6" s="70" customFormat="1" x14ac:dyDescent="0.25">
      <c r="A141" s="202"/>
      <c r="B141" s="202"/>
      <c r="C141" s="137" t="s">
        <v>461</v>
      </c>
      <c r="D141" s="86">
        <f>SUM(D142)</f>
        <v>20.2</v>
      </c>
      <c r="E141" s="86">
        <f t="shared" ref="E141:F141" si="3">SUM(E142)</f>
        <v>28</v>
      </c>
      <c r="F141" s="86">
        <f t="shared" si="3"/>
        <v>18.5</v>
      </c>
    </row>
    <row r="142" spans="1:6" s="70" customFormat="1" ht="16.5" customHeight="1" x14ac:dyDescent="0.25">
      <c r="A142" s="202"/>
      <c r="B142" s="202"/>
      <c r="C142" s="20" t="s">
        <v>462</v>
      </c>
      <c r="D142" s="87">
        <v>20.2</v>
      </c>
      <c r="E142" s="112">
        <v>28</v>
      </c>
      <c r="F142" s="112">
        <v>18.5</v>
      </c>
    </row>
    <row r="143" spans="1:6" s="70" customFormat="1" x14ac:dyDescent="0.25">
      <c r="A143" s="202"/>
      <c r="B143" s="202"/>
      <c r="C143" s="9" t="s">
        <v>155</v>
      </c>
      <c r="D143" s="91">
        <f>D99+D108+D114+D118+D123+D129+D131+D133+D138+D141</f>
        <v>2091282.9999999998</v>
      </c>
      <c r="E143" s="91">
        <f>E99+E108+E114+E118+E123+E129+E131+E133+E138+E141</f>
        <v>1765946.9</v>
      </c>
      <c r="F143" s="91">
        <f>F99+F108+F114+F118+F123+F129+F131+F133+F138+F141</f>
        <v>2061369.8</v>
      </c>
    </row>
    <row r="144" spans="1:6" x14ac:dyDescent="0.25">
      <c r="C144" s="70"/>
      <c r="D144" s="24"/>
      <c r="E144" s="123"/>
      <c r="F144" s="70"/>
    </row>
    <row r="145" spans="2:7" ht="18.75" customHeight="1" x14ac:dyDescent="0.25">
      <c r="C145" s="270" t="s">
        <v>171</v>
      </c>
      <c r="D145" s="270"/>
      <c r="E145" s="270"/>
      <c r="F145" s="270"/>
    </row>
    <row r="146" spans="2:7" x14ac:dyDescent="0.25">
      <c r="C146" s="70"/>
      <c r="D146" s="70"/>
      <c r="E146" s="123"/>
      <c r="F146" s="85" t="s">
        <v>40</v>
      </c>
    </row>
    <row r="147" spans="2:7" ht="63" x14ac:dyDescent="0.25">
      <c r="C147" s="22" t="s">
        <v>156</v>
      </c>
      <c r="D147" s="72" t="s">
        <v>547</v>
      </c>
      <c r="E147" s="72" t="s">
        <v>548</v>
      </c>
      <c r="F147" s="73" t="s">
        <v>549</v>
      </c>
    </row>
    <row r="148" spans="2:7" ht="31.5" customHeight="1" x14ac:dyDescent="0.25">
      <c r="B148" s="18" t="s">
        <v>178</v>
      </c>
      <c r="C148" s="61" t="s">
        <v>172</v>
      </c>
      <c r="D148" s="88">
        <f>SUM(D149,D152)</f>
        <v>-36481.399999999907</v>
      </c>
      <c r="E148" s="88">
        <f>SUM(E149,E152)</f>
        <v>-28000</v>
      </c>
      <c r="F148" s="88">
        <f>SUM(F149,F152)</f>
        <v>105371.19999999995</v>
      </c>
    </row>
    <row r="149" spans="2:7" ht="31.5" customHeight="1" x14ac:dyDescent="0.25">
      <c r="B149" s="18" t="s">
        <v>179</v>
      </c>
      <c r="C149" s="61" t="s">
        <v>173</v>
      </c>
      <c r="D149" s="88">
        <f>SUM(D150,D151)</f>
        <v>8500</v>
      </c>
      <c r="E149" s="88">
        <f>SUM(E150,E151)</f>
        <v>-28000</v>
      </c>
      <c r="F149" s="88">
        <f>SUM(F150,F151)</f>
        <v>3100</v>
      </c>
    </row>
    <row r="150" spans="2:7" ht="53.25" customHeight="1" x14ac:dyDescent="0.25">
      <c r="B150" s="23" t="s">
        <v>180</v>
      </c>
      <c r="C150" s="89" t="s">
        <v>628</v>
      </c>
      <c r="D150" s="90">
        <v>8500</v>
      </c>
      <c r="E150" s="90">
        <v>0</v>
      </c>
      <c r="F150" s="90">
        <v>22600</v>
      </c>
    </row>
    <row r="151" spans="2:7" ht="47.25" x14ac:dyDescent="0.25">
      <c r="B151" s="23" t="s">
        <v>181</v>
      </c>
      <c r="C151" s="89" t="s">
        <v>174</v>
      </c>
      <c r="D151" s="90">
        <v>0</v>
      </c>
      <c r="E151" s="90">
        <v>-28000</v>
      </c>
      <c r="F151" s="90">
        <v>-19500</v>
      </c>
    </row>
    <row r="152" spans="2:7" ht="19.5" customHeight="1" x14ac:dyDescent="0.25">
      <c r="B152" s="18" t="s">
        <v>182</v>
      </c>
      <c r="C152" s="61" t="s">
        <v>175</v>
      </c>
      <c r="D152" s="91">
        <f>SUM(D153,D154)</f>
        <v>-44981.399999999907</v>
      </c>
      <c r="E152" s="91">
        <f>SUM(E153,E154)</f>
        <v>0</v>
      </c>
      <c r="F152" s="91">
        <f>SUM(F153,F154)</f>
        <v>102271.19999999995</v>
      </c>
    </row>
    <row r="153" spans="2:7" ht="19.5" customHeight="1" x14ac:dyDescent="0.25">
      <c r="B153" s="18" t="s">
        <v>183</v>
      </c>
      <c r="C153" s="83" t="s">
        <v>176</v>
      </c>
      <c r="D153" s="92">
        <v>-2136264.4</v>
      </c>
      <c r="E153" s="92">
        <v>-1793946.9</v>
      </c>
      <c r="F153" s="92">
        <f>-F94-F150</f>
        <v>-1978598.6</v>
      </c>
      <c r="G153" s="4"/>
    </row>
    <row r="154" spans="2:7" ht="20.25" customHeight="1" x14ac:dyDescent="0.25">
      <c r="B154" s="18" t="s">
        <v>184</v>
      </c>
      <c r="C154" s="83" t="s">
        <v>177</v>
      </c>
      <c r="D154" s="92">
        <v>2091283</v>
      </c>
      <c r="E154" s="92">
        <f>1765946.9+28000</f>
        <v>1793946.9</v>
      </c>
      <c r="F154" s="92">
        <f>F143-F151</f>
        <v>2080869.8</v>
      </c>
      <c r="G154" s="4"/>
    </row>
    <row r="155" spans="2:7" ht="15.75" customHeight="1" x14ac:dyDescent="0.25"/>
    <row r="156" spans="2:7" x14ac:dyDescent="0.25">
      <c r="C156" s="21"/>
    </row>
  </sheetData>
  <mergeCells count="3">
    <mergeCell ref="C1:F1"/>
    <mergeCell ref="C96:F96"/>
    <mergeCell ref="C145:F145"/>
  </mergeCells>
  <pageMargins left="0.78740157480314965" right="0.31496062992125984" top="0.39" bottom="0.39" header="0.31496062992125984" footer="0.31496062992125984"/>
  <pageSetup paperSize="9" scale="78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showZeros="0" topLeftCell="A32" zoomScale="80" zoomScaleNormal="80" workbookViewId="0">
      <selection activeCell="D50" sqref="D50"/>
    </sheetView>
  </sheetViews>
  <sheetFormatPr defaultColWidth="4.42578125" defaultRowHeight="15" x14ac:dyDescent="0.25"/>
  <cols>
    <col min="1" max="1" width="90" customWidth="1"/>
    <col min="2" max="2" width="7.140625" style="11" hidden="1" customWidth="1"/>
    <col min="3" max="3" width="14.140625" customWidth="1"/>
    <col min="4" max="4" width="14.42578125" customWidth="1"/>
    <col min="5" max="248" width="9.140625" customWidth="1"/>
    <col min="249" max="249" width="90" customWidth="1"/>
    <col min="250" max="250" width="16.140625" customWidth="1"/>
  </cols>
  <sheetData>
    <row r="1" spans="1:4" ht="54.75" customHeight="1" x14ac:dyDescent="0.25">
      <c r="A1" s="271" t="s">
        <v>535</v>
      </c>
      <c r="B1" s="271"/>
      <c r="C1" s="271"/>
    </row>
    <row r="2" spans="1:4" x14ac:dyDescent="0.25">
      <c r="C2" s="120" t="s">
        <v>40</v>
      </c>
    </row>
    <row r="3" spans="1:4" ht="81" customHeight="1" x14ac:dyDescent="0.25">
      <c r="A3" s="12" t="s">
        <v>41</v>
      </c>
      <c r="B3" s="13" t="s">
        <v>42</v>
      </c>
      <c r="C3" s="73" t="s">
        <v>529</v>
      </c>
      <c r="D3" s="73" t="s">
        <v>549</v>
      </c>
    </row>
    <row r="4" spans="1:4" ht="15.75" x14ac:dyDescent="0.25">
      <c r="A4" s="5" t="s">
        <v>117</v>
      </c>
      <c r="B4" s="6"/>
      <c r="C4" s="118">
        <f>SUM(C5,C33)</f>
        <v>1765946.9</v>
      </c>
      <c r="D4" s="118">
        <f>SUM(D5,D33)</f>
        <v>2061369.7999999998</v>
      </c>
    </row>
    <row r="5" spans="1:4" ht="15.75" x14ac:dyDescent="0.25">
      <c r="A5" s="5" t="s">
        <v>118</v>
      </c>
      <c r="B5" s="7"/>
      <c r="C5" s="118">
        <f>SUM(C6,C7,C10,C13,C16,C19,C23,C24,C28,C31)</f>
        <v>1461230.3</v>
      </c>
      <c r="D5" s="118">
        <f>SUM(D6,D7,D10,D13,D16,D19,D23,D24,D28,D31)</f>
        <v>1694489.9</v>
      </c>
    </row>
    <row r="6" spans="1:4" ht="47.25" x14ac:dyDescent="0.25">
      <c r="A6" s="9" t="s">
        <v>536</v>
      </c>
      <c r="B6" s="16" t="s">
        <v>44</v>
      </c>
      <c r="C6" s="118">
        <v>10</v>
      </c>
      <c r="D6" s="257">
        <v>10</v>
      </c>
    </row>
    <row r="7" spans="1:4" ht="31.5" x14ac:dyDescent="0.25">
      <c r="A7" s="9" t="s">
        <v>537</v>
      </c>
      <c r="B7" s="16" t="s">
        <v>47</v>
      </c>
      <c r="C7" s="118">
        <f>SUM(C8:C9)</f>
        <v>1023157.3</v>
      </c>
      <c r="D7" s="257">
        <f>SUM(D8:D9)</f>
        <v>1125250.6000000001</v>
      </c>
    </row>
    <row r="8" spans="1:4" s="8" customFormat="1" ht="31.5" x14ac:dyDescent="0.25">
      <c r="A8" s="64" t="s">
        <v>119</v>
      </c>
      <c r="B8" s="65" t="s">
        <v>120</v>
      </c>
      <c r="C8" s="119">
        <v>762477.8</v>
      </c>
      <c r="D8" s="258">
        <v>841703.7</v>
      </c>
    </row>
    <row r="9" spans="1:4" s="8" customFormat="1" ht="31.5" x14ac:dyDescent="0.25">
      <c r="A9" s="64" t="s">
        <v>106</v>
      </c>
      <c r="B9" s="65" t="s">
        <v>121</v>
      </c>
      <c r="C9" s="119">
        <v>260679.5</v>
      </c>
      <c r="D9" s="258">
        <v>283546.90000000002</v>
      </c>
    </row>
    <row r="10" spans="1:4" ht="33" customHeight="1" x14ac:dyDescent="0.25">
      <c r="A10" s="9" t="s">
        <v>538</v>
      </c>
      <c r="B10" s="16" t="s">
        <v>61</v>
      </c>
      <c r="C10" s="118">
        <f>SUM(C11:C12)</f>
        <v>9400.9</v>
      </c>
      <c r="D10" s="257">
        <f>SUM(D11:D12)</f>
        <v>8634.8000000000011</v>
      </c>
    </row>
    <row r="11" spans="1:4" s="8" customFormat="1" ht="15.75" x14ac:dyDescent="0.25">
      <c r="A11" s="64" t="s">
        <v>88</v>
      </c>
      <c r="B11" s="65" t="s">
        <v>122</v>
      </c>
      <c r="C11" s="117">
        <v>600</v>
      </c>
      <c r="D11" s="259">
        <v>195.2</v>
      </c>
    </row>
    <row r="12" spans="1:4" s="8" customFormat="1" ht="31.5" x14ac:dyDescent="0.25">
      <c r="A12" s="64" t="s">
        <v>539</v>
      </c>
      <c r="B12" s="65"/>
      <c r="C12" s="117">
        <v>8800.9</v>
      </c>
      <c r="D12" s="259">
        <v>8439.6</v>
      </c>
    </row>
    <row r="13" spans="1:4" ht="31.5" x14ac:dyDescent="0.25">
      <c r="A13" s="9" t="s">
        <v>540</v>
      </c>
      <c r="B13" s="16" t="s">
        <v>51</v>
      </c>
      <c r="C13" s="118">
        <f>SUM(C14:C15)</f>
        <v>43504.7</v>
      </c>
      <c r="D13" s="257">
        <f>SUM(D14:D15)</f>
        <v>44070.899999999994</v>
      </c>
    </row>
    <row r="14" spans="1:4" s="8" customFormat="1" ht="15.75" x14ac:dyDescent="0.25">
      <c r="A14" s="64" t="s">
        <v>105</v>
      </c>
      <c r="B14" s="65" t="s">
        <v>123</v>
      </c>
      <c r="C14" s="119">
        <v>11460.2</v>
      </c>
      <c r="D14" s="258">
        <v>12672.3</v>
      </c>
    </row>
    <row r="15" spans="1:4" s="8" customFormat="1" ht="31.5" x14ac:dyDescent="0.25">
      <c r="A15" s="64" t="s">
        <v>106</v>
      </c>
      <c r="B15" s="65" t="s">
        <v>124</v>
      </c>
      <c r="C15" s="119">
        <v>32044.5</v>
      </c>
      <c r="D15" s="258">
        <v>31398.6</v>
      </c>
    </row>
    <row r="16" spans="1:4" ht="31.5" x14ac:dyDescent="0.25">
      <c r="A16" s="9" t="s">
        <v>541</v>
      </c>
      <c r="B16" s="16" t="s">
        <v>54</v>
      </c>
      <c r="C16" s="118">
        <f>SUM(C17:C18)</f>
        <v>103422.3</v>
      </c>
      <c r="D16" s="257">
        <f>SUM(D17:D18)</f>
        <v>130994.3</v>
      </c>
    </row>
    <row r="17" spans="1:4" s="8" customFormat="1" ht="15.75" x14ac:dyDescent="0.25">
      <c r="A17" s="64" t="s">
        <v>78</v>
      </c>
      <c r="B17" s="65" t="s">
        <v>125</v>
      </c>
      <c r="C17" s="119">
        <v>14352.6</v>
      </c>
      <c r="D17" s="258">
        <v>14352.6</v>
      </c>
    </row>
    <row r="18" spans="1:4" s="8" customFormat="1" ht="15.75" customHeight="1" x14ac:dyDescent="0.25">
      <c r="A18" s="64" t="s">
        <v>79</v>
      </c>
      <c r="B18" s="65" t="s">
        <v>126</v>
      </c>
      <c r="C18" s="119">
        <v>89069.7</v>
      </c>
      <c r="D18" s="258">
        <v>116641.7</v>
      </c>
    </row>
    <row r="19" spans="1:4" ht="31.5" x14ac:dyDescent="0.25">
      <c r="A19" s="9" t="s">
        <v>542</v>
      </c>
      <c r="B19" s="16" t="s">
        <v>85</v>
      </c>
      <c r="C19" s="118">
        <f>SUM(C20:C22)</f>
        <v>38088.699999999997</v>
      </c>
      <c r="D19" s="257">
        <f>SUM(D20:D22)</f>
        <v>37546.9</v>
      </c>
    </row>
    <row r="20" spans="1:4" s="8" customFormat="1" ht="15.75" x14ac:dyDescent="0.25">
      <c r="A20" s="64" t="s">
        <v>557</v>
      </c>
      <c r="B20" s="65" t="s">
        <v>127</v>
      </c>
      <c r="C20" s="119">
        <v>15438.2</v>
      </c>
      <c r="D20" s="258">
        <v>19187</v>
      </c>
    </row>
    <row r="21" spans="1:4" s="8" customFormat="1" ht="31.5" x14ac:dyDescent="0.25">
      <c r="A21" s="64" t="s">
        <v>558</v>
      </c>
      <c r="B21" s="65" t="s">
        <v>128</v>
      </c>
      <c r="C21" s="119">
        <v>16730.8</v>
      </c>
      <c r="D21" s="258">
        <v>16730.8</v>
      </c>
    </row>
    <row r="22" spans="1:4" s="8" customFormat="1" ht="15.75" x14ac:dyDescent="0.25">
      <c r="A22" s="64" t="s">
        <v>555</v>
      </c>
      <c r="B22" s="65" t="s">
        <v>129</v>
      </c>
      <c r="C22" s="119">
        <v>5919.7</v>
      </c>
      <c r="D22" s="258">
        <v>1629.1</v>
      </c>
    </row>
    <row r="23" spans="1:4" ht="31.5" x14ac:dyDescent="0.25">
      <c r="A23" s="9" t="s">
        <v>543</v>
      </c>
      <c r="B23" s="16" t="s">
        <v>94</v>
      </c>
      <c r="C23" s="118">
        <v>176731.5</v>
      </c>
      <c r="D23" s="257">
        <v>232329</v>
      </c>
    </row>
    <row r="24" spans="1:4" ht="31.5" x14ac:dyDescent="0.25">
      <c r="A24" s="9" t="s">
        <v>544</v>
      </c>
      <c r="B24" s="16" t="s">
        <v>70</v>
      </c>
      <c r="C24" s="118">
        <f>SUM(C25:C27)</f>
        <v>61764.899999999994</v>
      </c>
      <c r="D24" s="257">
        <f>SUM(D25:D27)</f>
        <v>109957.90000000001</v>
      </c>
    </row>
    <row r="25" spans="1:4" s="8" customFormat="1" ht="36.75" customHeight="1" x14ac:dyDescent="0.25">
      <c r="A25" s="113" t="s">
        <v>89</v>
      </c>
      <c r="B25" s="114" t="s">
        <v>130</v>
      </c>
      <c r="C25" s="119">
        <v>11714.8</v>
      </c>
      <c r="D25" s="258">
        <v>11714.8</v>
      </c>
    </row>
    <row r="26" spans="1:4" s="8" customFormat="1" ht="31.5" x14ac:dyDescent="0.25">
      <c r="A26" s="64" t="s">
        <v>335</v>
      </c>
      <c r="B26" s="114" t="s">
        <v>131</v>
      </c>
      <c r="C26" s="119">
        <v>50050.1</v>
      </c>
      <c r="D26" s="258">
        <v>98243.1</v>
      </c>
    </row>
    <row r="27" spans="1:4" s="8" customFormat="1" ht="21" hidden="1" customHeight="1" x14ac:dyDescent="0.25">
      <c r="A27" s="113" t="s">
        <v>90</v>
      </c>
      <c r="B27" s="114" t="s">
        <v>132</v>
      </c>
      <c r="C27" s="119">
        <v>0</v>
      </c>
      <c r="D27" s="258">
        <v>0</v>
      </c>
    </row>
    <row r="28" spans="1:4" ht="17.25" customHeight="1" x14ac:dyDescent="0.25">
      <c r="A28" s="14" t="s">
        <v>545</v>
      </c>
      <c r="B28" s="16" t="s">
        <v>72</v>
      </c>
      <c r="C28" s="118">
        <f>SUM(C29:C30)</f>
        <v>5050</v>
      </c>
      <c r="D28" s="257">
        <f>SUM(D29:D30)</f>
        <v>5595.5</v>
      </c>
    </row>
    <row r="29" spans="1:4" s="17" customFormat="1" ht="31.5" x14ac:dyDescent="0.25">
      <c r="A29" s="64" t="s">
        <v>336</v>
      </c>
      <c r="B29" s="16"/>
      <c r="C29" s="119">
        <v>3525</v>
      </c>
      <c r="D29" s="258">
        <v>3491.8</v>
      </c>
    </row>
    <row r="30" spans="1:4" s="17" customFormat="1" ht="47.25" x14ac:dyDescent="0.25">
      <c r="A30" s="64" t="s">
        <v>337</v>
      </c>
      <c r="B30" s="16"/>
      <c r="C30" s="119">
        <v>1525</v>
      </c>
      <c r="D30" s="258">
        <v>2103.6999999999998</v>
      </c>
    </row>
    <row r="31" spans="1:4" s="17" customFormat="1" ht="31.5" customHeight="1" x14ac:dyDescent="0.25">
      <c r="A31" s="14" t="s">
        <v>546</v>
      </c>
      <c r="B31" s="16"/>
      <c r="C31" s="182">
        <f>C32</f>
        <v>100</v>
      </c>
      <c r="D31" s="182">
        <f>D32</f>
        <v>100</v>
      </c>
    </row>
    <row r="32" spans="1:4" s="17" customFormat="1" ht="31.5" x14ac:dyDescent="0.25">
      <c r="A32" s="64" t="s">
        <v>338</v>
      </c>
      <c r="B32" s="16"/>
      <c r="C32" s="119">
        <v>100</v>
      </c>
      <c r="D32" s="258">
        <v>100</v>
      </c>
    </row>
    <row r="33" spans="1:4" s="15" customFormat="1" ht="15.75" x14ac:dyDescent="0.25">
      <c r="A33" s="67" t="s">
        <v>133</v>
      </c>
      <c r="B33" s="16"/>
      <c r="C33" s="118">
        <f>SUM(C34,C38,C41,C44,C46,C49)</f>
        <v>304716.59999999998</v>
      </c>
      <c r="D33" s="257">
        <f>SUM(D34,D38,D41,D44,D46,D49)</f>
        <v>366879.9</v>
      </c>
    </row>
    <row r="34" spans="1:4" ht="31.5" x14ac:dyDescent="0.25">
      <c r="A34" s="9" t="s">
        <v>48</v>
      </c>
      <c r="B34" s="16" t="s">
        <v>134</v>
      </c>
      <c r="C34" s="118">
        <f>SUM(C35:C36)</f>
        <v>85869.799999999988</v>
      </c>
      <c r="D34" s="257">
        <f>SUM(D35:D36)</f>
        <v>99859.6</v>
      </c>
    </row>
    <row r="35" spans="1:4" s="8" customFormat="1" ht="15.75" x14ac:dyDescent="0.25">
      <c r="A35" s="10" t="s">
        <v>49</v>
      </c>
      <c r="B35" s="66" t="s">
        <v>135</v>
      </c>
      <c r="C35" s="117">
        <v>6054.9</v>
      </c>
      <c r="D35" s="259">
        <v>8391.6</v>
      </c>
    </row>
    <row r="36" spans="1:4" s="8" customFormat="1" ht="15.75" x14ac:dyDescent="0.25">
      <c r="A36" s="10" t="s">
        <v>52</v>
      </c>
      <c r="B36" s="66" t="s">
        <v>137</v>
      </c>
      <c r="C36" s="117">
        <v>79814.899999999994</v>
      </c>
      <c r="D36" s="259">
        <v>91468</v>
      </c>
    </row>
    <row r="37" spans="1:4" ht="47.25" hidden="1" x14ac:dyDescent="0.25">
      <c r="A37" s="68" t="s">
        <v>138</v>
      </c>
      <c r="B37" s="66" t="s">
        <v>62</v>
      </c>
      <c r="C37" s="117"/>
      <c r="D37" s="259"/>
    </row>
    <row r="38" spans="1:4" ht="31.5" x14ac:dyDescent="0.25">
      <c r="A38" s="9" t="s">
        <v>59</v>
      </c>
      <c r="B38" s="16" t="s">
        <v>139</v>
      </c>
      <c r="C38" s="118">
        <f>SUM(C39:C40)</f>
        <v>186445.8</v>
      </c>
      <c r="D38" s="257">
        <f>SUM(D39:D40)</f>
        <v>225886.80000000002</v>
      </c>
    </row>
    <row r="39" spans="1:4" s="8" customFormat="1" ht="31.5" x14ac:dyDescent="0.25">
      <c r="A39" s="10" t="s">
        <v>60</v>
      </c>
      <c r="B39" s="66" t="s">
        <v>140</v>
      </c>
      <c r="C39" s="117">
        <v>72568</v>
      </c>
      <c r="D39" s="259">
        <v>84526.6</v>
      </c>
    </row>
    <row r="40" spans="1:4" s="8" customFormat="1" ht="15.75" x14ac:dyDescent="0.25">
      <c r="A40" s="10" t="s">
        <v>102</v>
      </c>
      <c r="B40" s="66" t="s">
        <v>141</v>
      </c>
      <c r="C40" s="117">
        <v>113877.8</v>
      </c>
      <c r="D40" s="259">
        <v>141360.20000000001</v>
      </c>
    </row>
    <row r="41" spans="1:4" ht="15.75" x14ac:dyDescent="0.25">
      <c r="A41" s="9" t="s">
        <v>55</v>
      </c>
      <c r="B41" s="16" t="s">
        <v>142</v>
      </c>
      <c r="C41" s="118">
        <f>SUM(C42:C43)</f>
        <v>25376.7</v>
      </c>
      <c r="D41" s="257">
        <f>SUM(D42:D43)</f>
        <v>30616.6</v>
      </c>
    </row>
    <row r="42" spans="1:4" s="8" customFormat="1" ht="15.75" x14ac:dyDescent="0.25">
      <c r="A42" s="10" t="s">
        <v>56</v>
      </c>
      <c r="B42" s="66" t="s">
        <v>143</v>
      </c>
      <c r="C42" s="117">
        <v>15002.800000000001</v>
      </c>
      <c r="D42" s="259">
        <v>18990.3</v>
      </c>
    </row>
    <row r="43" spans="1:4" s="15" customFormat="1" ht="15.75" x14ac:dyDescent="0.25">
      <c r="A43" s="10" t="s">
        <v>92</v>
      </c>
      <c r="B43" s="66" t="s">
        <v>144</v>
      </c>
      <c r="C43" s="117">
        <v>10373.9</v>
      </c>
      <c r="D43" s="259">
        <v>11626.3</v>
      </c>
    </row>
    <row r="44" spans="1:4" ht="15.75" x14ac:dyDescent="0.25">
      <c r="A44" s="9" t="s">
        <v>108</v>
      </c>
      <c r="B44" s="16" t="s">
        <v>145</v>
      </c>
      <c r="C44" s="118">
        <f>SUM(C45)</f>
        <v>50</v>
      </c>
      <c r="D44" s="257">
        <f>SUM(D45)</f>
        <v>0</v>
      </c>
    </row>
    <row r="45" spans="1:4" s="8" customFormat="1" ht="15.75" x14ac:dyDescent="0.25">
      <c r="A45" s="10" t="s">
        <v>110</v>
      </c>
      <c r="B45" s="66" t="s">
        <v>146</v>
      </c>
      <c r="C45" s="117">
        <v>50</v>
      </c>
      <c r="D45" s="259">
        <v>0</v>
      </c>
    </row>
    <row r="46" spans="1:4" ht="15.75" x14ac:dyDescent="0.25">
      <c r="A46" s="9" t="s">
        <v>111</v>
      </c>
      <c r="B46" s="16" t="s">
        <v>147</v>
      </c>
      <c r="C46" s="118">
        <f>SUM(C47:C48)</f>
        <v>4069.3</v>
      </c>
      <c r="D46" s="257">
        <f>SUM(D47:D48)</f>
        <v>6013.7</v>
      </c>
    </row>
    <row r="47" spans="1:4" s="8" customFormat="1" ht="16.5" customHeight="1" x14ac:dyDescent="0.25">
      <c r="A47" s="10" t="s">
        <v>113</v>
      </c>
      <c r="B47" s="66" t="s">
        <v>148</v>
      </c>
      <c r="C47" s="117">
        <v>4069.3</v>
      </c>
      <c r="D47" s="259">
        <v>6013.7</v>
      </c>
    </row>
    <row r="48" spans="1:4" s="8" customFormat="1" ht="16.5" hidden="1" customHeight="1" x14ac:dyDescent="0.25">
      <c r="A48" s="10" t="s">
        <v>463</v>
      </c>
      <c r="B48" s="66"/>
      <c r="C48" s="117">
        <v>0</v>
      </c>
      <c r="D48" s="259">
        <v>0</v>
      </c>
    </row>
    <row r="49" spans="1:4" ht="15.75" x14ac:dyDescent="0.25">
      <c r="A49" s="9" t="s">
        <v>114</v>
      </c>
      <c r="B49" s="16" t="s">
        <v>149</v>
      </c>
      <c r="C49" s="118">
        <f>SUM(C50)</f>
        <v>2905</v>
      </c>
      <c r="D49" s="257">
        <f>SUM(D50)</f>
        <v>4503.2</v>
      </c>
    </row>
    <row r="50" spans="1:4" s="8" customFormat="1" ht="31.5" x14ac:dyDescent="0.25">
      <c r="A50" s="10" t="s">
        <v>115</v>
      </c>
      <c r="B50" s="66" t="s">
        <v>150</v>
      </c>
      <c r="C50" s="117">
        <v>2905</v>
      </c>
      <c r="D50" s="259">
        <v>4503.2</v>
      </c>
    </row>
    <row r="51" spans="1:4" ht="96" hidden="1" customHeight="1" x14ac:dyDescent="0.25">
      <c r="A51" s="115" t="s">
        <v>136</v>
      </c>
      <c r="B51" s="116" t="s">
        <v>116</v>
      </c>
    </row>
  </sheetData>
  <mergeCells count="1">
    <mergeCell ref="A1:C1"/>
  </mergeCells>
  <pageMargins left="0.7" right="0.7" top="0.75" bottom="0.75" header="0.3" footer="0.3"/>
  <pageSetup paperSize="9" scale="73" fitToHeight="1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J118"/>
  <sheetViews>
    <sheetView view="pageBreakPreview" zoomScale="110" zoomScaleNormal="100" zoomScaleSheetLayoutView="110" workbookViewId="0">
      <pane xSplit="2" ySplit="6" topLeftCell="C7" activePane="bottomRight" state="frozen"/>
      <selection pane="topRight" activeCell="C1" sqref="C1"/>
      <selection pane="bottomLeft" activeCell="A8" sqref="A8"/>
      <selection pane="bottomRight" activeCell="A31" sqref="A31:B31"/>
    </sheetView>
  </sheetViews>
  <sheetFormatPr defaultRowHeight="16.5" customHeight="1" x14ac:dyDescent="0.2"/>
  <cols>
    <col min="1" max="1" width="98.85546875" style="35" customWidth="1"/>
    <col min="2" max="2" width="35.140625" style="32" bestFit="1" customWidth="1"/>
    <col min="3" max="3" width="9.28515625" style="32" hidden="1" customWidth="1"/>
    <col min="4" max="4" width="9" style="32" hidden="1" customWidth="1"/>
    <col min="5" max="6" width="9" style="32" customWidth="1"/>
    <col min="7" max="8" width="10.140625" style="32" bestFit="1" customWidth="1"/>
    <col min="9" max="9" width="10.85546875" style="32" bestFit="1" customWidth="1"/>
    <col min="10" max="256" width="9.140625" style="32"/>
    <col min="257" max="257" width="98.85546875" style="32" customWidth="1"/>
    <col min="258" max="258" width="35.140625" style="32" bestFit="1" customWidth="1"/>
    <col min="259" max="260" width="0" style="32" hidden="1" customWidth="1"/>
    <col min="261" max="262" width="9" style="32" customWidth="1"/>
    <col min="263" max="264" width="10.140625" style="32" bestFit="1" customWidth="1"/>
    <col min="265" max="265" width="10.85546875" style="32" bestFit="1" customWidth="1"/>
    <col min="266" max="512" width="9.140625" style="32"/>
    <col min="513" max="513" width="98.85546875" style="32" customWidth="1"/>
    <col min="514" max="514" width="35.140625" style="32" bestFit="1" customWidth="1"/>
    <col min="515" max="516" width="0" style="32" hidden="1" customWidth="1"/>
    <col min="517" max="518" width="9" style="32" customWidth="1"/>
    <col min="519" max="520" width="10.140625" style="32" bestFit="1" customWidth="1"/>
    <col min="521" max="521" width="10.85546875" style="32" bestFit="1" customWidth="1"/>
    <col min="522" max="768" width="9.140625" style="32"/>
    <col min="769" max="769" width="98.85546875" style="32" customWidth="1"/>
    <col min="770" max="770" width="35.140625" style="32" bestFit="1" customWidth="1"/>
    <col min="771" max="772" width="0" style="32" hidden="1" customWidth="1"/>
    <col min="773" max="774" width="9" style="32" customWidth="1"/>
    <col min="775" max="776" width="10.140625" style="32" bestFit="1" customWidth="1"/>
    <col min="777" max="777" width="10.85546875" style="32" bestFit="1" customWidth="1"/>
    <col min="778" max="1024" width="9.140625" style="32"/>
    <col min="1025" max="1025" width="98.85546875" style="32" customWidth="1"/>
    <col min="1026" max="1026" width="35.140625" style="32" bestFit="1" customWidth="1"/>
    <col min="1027" max="1028" width="0" style="32" hidden="1" customWidth="1"/>
    <col min="1029" max="1030" width="9" style="32" customWidth="1"/>
    <col min="1031" max="1032" width="10.140625" style="32" bestFit="1" customWidth="1"/>
    <col min="1033" max="1033" width="10.85546875" style="32" bestFit="1" customWidth="1"/>
    <col min="1034" max="1280" width="9.140625" style="32"/>
    <col min="1281" max="1281" width="98.85546875" style="32" customWidth="1"/>
    <col min="1282" max="1282" width="35.140625" style="32" bestFit="1" customWidth="1"/>
    <col min="1283" max="1284" width="0" style="32" hidden="1" customWidth="1"/>
    <col min="1285" max="1286" width="9" style="32" customWidth="1"/>
    <col min="1287" max="1288" width="10.140625" style="32" bestFit="1" customWidth="1"/>
    <col min="1289" max="1289" width="10.85546875" style="32" bestFit="1" customWidth="1"/>
    <col min="1290" max="1536" width="9.140625" style="32"/>
    <col min="1537" max="1537" width="98.85546875" style="32" customWidth="1"/>
    <col min="1538" max="1538" width="35.140625" style="32" bestFit="1" customWidth="1"/>
    <col min="1539" max="1540" width="0" style="32" hidden="1" customWidth="1"/>
    <col min="1541" max="1542" width="9" style="32" customWidth="1"/>
    <col min="1543" max="1544" width="10.140625" style="32" bestFit="1" customWidth="1"/>
    <col min="1545" max="1545" width="10.85546875" style="32" bestFit="1" customWidth="1"/>
    <col min="1546" max="1792" width="9.140625" style="32"/>
    <col min="1793" max="1793" width="98.85546875" style="32" customWidth="1"/>
    <col min="1794" max="1794" width="35.140625" style="32" bestFit="1" customWidth="1"/>
    <col min="1795" max="1796" width="0" style="32" hidden="1" customWidth="1"/>
    <col min="1797" max="1798" width="9" style="32" customWidth="1"/>
    <col min="1799" max="1800" width="10.140625" style="32" bestFit="1" customWidth="1"/>
    <col min="1801" max="1801" width="10.85546875" style="32" bestFit="1" customWidth="1"/>
    <col min="1802" max="2048" width="9.140625" style="32"/>
    <col min="2049" max="2049" width="98.85546875" style="32" customWidth="1"/>
    <col min="2050" max="2050" width="35.140625" style="32" bestFit="1" customWidth="1"/>
    <col min="2051" max="2052" width="0" style="32" hidden="1" customWidth="1"/>
    <col min="2053" max="2054" width="9" style="32" customWidth="1"/>
    <col min="2055" max="2056" width="10.140625" style="32" bestFit="1" customWidth="1"/>
    <col min="2057" max="2057" width="10.85546875" style="32" bestFit="1" customWidth="1"/>
    <col min="2058" max="2304" width="9.140625" style="32"/>
    <col min="2305" max="2305" width="98.85546875" style="32" customWidth="1"/>
    <col min="2306" max="2306" width="35.140625" style="32" bestFit="1" customWidth="1"/>
    <col min="2307" max="2308" width="0" style="32" hidden="1" customWidth="1"/>
    <col min="2309" max="2310" width="9" style="32" customWidth="1"/>
    <col min="2311" max="2312" width="10.140625" style="32" bestFit="1" customWidth="1"/>
    <col min="2313" max="2313" width="10.85546875" style="32" bestFit="1" customWidth="1"/>
    <col min="2314" max="2560" width="9.140625" style="32"/>
    <col min="2561" max="2561" width="98.85546875" style="32" customWidth="1"/>
    <col min="2562" max="2562" width="35.140625" style="32" bestFit="1" customWidth="1"/>
    <col min="2563" max="2564" width="0" style="32" hidden="1" customWidth="1"/>
    <col min="2565" max="2566" width="9" style="32" customWidth="1"/>
    <col min="2567" max="2568" width="10.140625" style="32" bestFit="1" customWidth="1"/>
    <col min="2569" max="2569" width="10.85546875" style="32" bestFit="1" customWidth="1"/>
    <col min="2570" max="2816" width="9.140625" style="32"/>
    <col min="2817" max="2817" width="98.85546875" style="32" customWidth="1"/>
    <col min="2818" max="2818" width="35.140625" style="32" bestFit="1" customWidth="1"/>
    <col min="2819" max="2820" width="0" style="32" hidden="1" customWidth="1"/>
    <col min="2821" max="2822" width="9" style="32" customWidth="1"/>
    <col min="2823" max="2824" width="10.140625" style="32" bestFit="1" customWidth="1"/>
    <col min="2825" max="2825" width="10.85546875" style="32" bestFit="1" customWidth="1"/>
    <col min="2826" max="3072" width="9.140625" style="32"/>
    <col min="3073" max="3073" width="98.85546875" style="32" customWidth="1"/>
    <col min="3074" max="3074" width="35.140625" style="32" bestFit="1" customWidth="1"/>
    <col min="3075" max="3076" width="0" style="32" hidden="1" customWidth="1"/>
    <col min="3077" max="3078" width="9" style="32" customWidth="1"/>
    <col min="3079" max="3080" width="10.140625" style="32" bestFit="1" customWidth="1"/>
    <col min="3081" max="3081" width="10.85546875" style="32" bestFit="1" customWidth="1"/>
    <col min="3082" max="3328" width="9.140625" style="32"/>
    <col min="3329" max="3329" width="98.85546875" style="32" customWidth="1"/>
    <col min="3330" max="3330" width="35.140625" style="32" bestFit="1" customWidth="1"/>
    <col min="3331" max="3332" width="0" style="32" hidden="1" customWidth="1"/>
    <col min="3333" max="3334" width="9" style="32" customWidth="1"/>
    <col min="3335" max="3336" width="10.140625" style="32" bestFit="1" customWidth="1"/>
    <col min="3337" max="3337" width="10.85546875" style="32" bestFit="1" customWidth="1"/>
    <col min="3338" max="3584" width="9.140625" style="32"/>
    <col min="3585" max="3585" width="98.85546875" style="32" customWidth="1"/>
    <col min="3586" max="3586" width="35.140625" style="32" bestFit="1" customWidth="1"/>
    <col min="3587" max="3588" width="0" style="32" hidden="1" customWidth="1"/>
    <col min="3589" max="3590" width="9" style="32" customWidth="1"/>
    <col min="3591" max="3592" width="10.140625" style="32" bestFit="1" customWidth="1"/>
    <col min="3593" max="3593" width="10.85546875" style="32" bestFit="1" customWidth="1"/>
    <col min="3594" max="3840" width="9.140625" style="32"/>
    <col min="3841" max="3841" width="98.85546875" style="32" customWidth="1"/>
    <col min="3842" max="3842" width="35.140625" style="32" bestFit="1" customWidth="1"/>
    <col min="3843" max="3844" width="0" style="32" hidden="1" customWidth="1"/>
    <col min="3845" max="3846" width="9" style="32" customWidth="1"/>
    <col min="3847" max="3848" width="10.140625" style="32" bestFit="1" customWidth="1"/>
    <col min="3849" max="3849" width="10.85546875" style="32" bestFit="1" customWidth="1"/>
    <col min="3850" max="4096" width="9.140625" style="32"/>
    <col min="4097" max="4097" width="98.85546875" style="32" customWidth="1"/>
    <col min="4098" max="4098" width="35.140625" style="32" bestFit="1" customWidth="1"/>
    <col min="4099" max="4100" width="0" style="32" hidden="1" customWidth="1"/>
    <col min="4101" max="4102" width="9" style="32" customWidth="1"/>
    <col min="4103" max="4104" width="10.140625" style="32" bestFit="1" customWidth="1"/>
    <col min="4105" max="4105" width="10.85546875" style="32" bestFit="1" customWidth="1"/>
    <col min="4106" max="4352" width="9.140625" style="32"/>
    <col min="4353" max="4353" width="98.85546875" style="32" customWidth="1"/>
    <col min="4354" max="4354" width="35.140625" style="32" bestFit="1" customWidth="1"/>
    <col min="4355" max="4356" width="0" style="32" hidden="1" customWidth="1"/>
    <col min="4357" max="4358" width="9" style="32" customWidth="1"/>
    <col min="4359" max="4360" width="10.140625" style="32" bestFit="1" customWidth="1"/>
    <col min="4361" max="4361" width="10.85546875" style="32" bestFit="1" customWidth="1"/>
    <col min="4362" max="4608" width="9.140625" style="32"/>
    <col min="4609" max="4609" width="98.85546875" style="32" customWidth="1"/>
    <col min="4610" max="4610" width="35.140625" style="32" bestFit="1" customWidth="1"/>
    <col min="4611" max="4612" width="0" style="32" hidden="1" customWidth="1"/>
    <col min="4613" max="4614" width="9" style="32" customWidth="1"/>
    <col min="4615" max="4616" width="10.140625" style="32" bestFit="1" customWidth="1"/>
    <col min="4617" max="4617" width="10.85546875" style="32" bestFit="1" customWidth="1"/>
    <col min="4618" max="4864" width="9.140625" style="32"/>
    <col min="4865" max="4865" width="98.85546875" style="32" customWidth="1"/>
    <col min="4866" max="4866" width="35.140625" style="32" bestFit="1" customWidth="1"/>
    <col min="4867" max="4868" width="0" style="32" hidden="1" customWidth="1"/>
    <col min="4869" max="4870" width="9" style="32" customWidth="1"/>
    <col min="4871" max="4872" width="10.140625" style="32" bestFit="1" customWidth="1"/>
    <col min="4873" max="4873" width="10.85546875" style="32" bestFit="1" customWidth="1"/>
    <col min="4874" max="5120" width="9.140625" style="32"/>
    <col min="5121" max="5121" width="98.85546875" style="32" customWidth="1"/>
    <col min="5122" max="5122" width="35.140625" style="32" bestFit="1" customWidth="1"/>
    <col min="5123" max="5124" width="0" style="32" hidden="1" customWidth="1"/>
    <col min="5125" max="5126" width="9" style="32" customWidth="1"/>
    <col min="5127" max="5128" width="10.140625" style="32" bestFit="1" customWidth="1"/>
    <col min="5129" max="5129" width="10.85546875" style="32" bestFit="1" customWidth="1"/>
    <col min="5130" max="5376" width="9.140625" style="32"/>
    <col min="5377" max="5377" width="98.85546875" style="32" customWidth="1"/>
    <col min="5378" max="5378" width="35.140625" style="32" bestFit="1" customWidth="1"/>
    <col min="5379" max="5380" width="0" style="32" hidden="1" customWidth="1"/>
    <col min="5381" max="5382" width="9" style="32" customWidth="1"/>
    <col min="5383" max="5384" width="10.140625" style="32" bestFit="1" customWidth="1"/>
    <col min="5385" max="5385" width="10.85546875" style="32" bestFit="1" customWidth="1"/>
    <col min="5386" max="5632" width="9.140625" style="32"/>
    <col min="5633" max="5633" width="98.85546875" style="32" customWidth="1"/>
    <col min="5634" max="5634" width="35.140625" style="32" bestFit="1" customWidth="1"/>
    <col min="5635" max="5636" width="0" style="32" hidden="1" customWidth="1"/>
    <col min="5637" max="5638" width="9" style="32" customWidth="1"/>
    <col min="5639" max="5640" width="10.140625" style="32" bestFit="1" customWidth="1"/>
    <col min="5641" max="5641" width="10.85546875" style="32" bestFit="1" customWidth="1"/>
    <col min="5642" max="5888" width="9.140625" style="32"/>
    <col min="5889" max="5889" width="98.85546875" style="32" customWidth="1"/>
    <col min="5890" max="5890" width="35.140625" style="32" bestFit="1" customWidth="1"/>
    <col min="5891" max="5892" width="0" style="32" hidden="1" customWidth="1"/>
    <col min="5893" max="5894" width="9" style="32" customWidth="1"/>
    <col min="5895" max="5896" width="10.140625" style="32" bestFit="1" customWidth="1"/>
    <col min="5897" max="5897" width="10.85546875" style="32" bestFit="1" customWidth="1"/>
    <col min="5898" max="6144" width="9.140625" style="32"/>
    <col min="6145" max="6145" width="98.85546875" style="32" customWidth="1"/>
    <col min="6146" max="6146" width="35.140625" style="32" bestFit="1" customWidth="1"/>
    <col min="6147" max="6148" width="0" style="32" hidden="1" customWidth="1"/>
    <col min="6149" max="6150" width="9" style="32" customWidth="1"/>
    <col min="6151" max="6152" width="10.140625" style="32" bestFit="1" customWidth="1"/>
    <col min="6153" max="6153" width="10.85546875" style="32" bestFit="1" customWidth="1"/>
    <col min="6154" max="6400" width="9.140625" style="32"/>
    <col min="6401" max="6401" width="98.85546875" style="32" customWidth="1"/>
    <col min="6402" max="6402" width="35.140625" style="32" bestFit="1" customWidth="1"/>
    <col min="6403" max="6404" width="0" style="32" hidden="1" customWidth="1"/>
    <col min="6405" max="6406" width="9" style="32" customWidth="1"/>
    <col min="6407" max="6408" width="10.140625" style="32" bestFit="1" customWidth="1"/>
    <col min="6409" max="6409" width="10.85546875" style="32" bestFit="1" customWidth="1"/>
    <col min="6410" max="6656" width="9.140625" style="32"/>
    <col min="6657" max="6657" width="98.85546875" style="32" customWidth="1"/>
    <col min="6658" max="6658" width="35.140625" style="32" bestFit="1" customWidth="1"/>
    <col min="6659" max="6660" width="0" style="32" hidden="1" customWidth="1"/>
    <col min="6661" max="6662" width="9" style="32" customWidth="1"/>
    <col min="6663" max="6664" width="10.140625" style="32" bestFit="1" customWidth="1"/>
    <col min="6665" max="6665" width="10.85546875" style="32" bestFit="1" customWidth="1"/>
    <col min="6666" max="6912" width="9.140625" style="32"/>
    <col min="6913" max="6913" width="98.85546875" style="32" customWidth="1"/>
    <col min="6914" max="6914" width="35.140625" style="32" bestFit="1" customWidth="1"/>
    <col min="6915" max="6916" width="0" style="32" hidden="1" customWidth="1"/>
    <col min="6917" max="6918" width="9" style="32" customWidth="1"/>
    <col min="6919" max="6920" width="10.140625" style="32" bestFit="1" customWidth="1"/>
    <col min="6921" max="6921" width="10.85546875" style="32" bestFit="1" customWidth="1"/>
    <col min="6922" max="7168" width="9.140625" style="32"/>
    <col min="7169" max="7169" width="98.85546875" style="32" customWidth="1"/>
    <col min="7170" max="7170" width="35.140625" style="32" bestFit="1" customWidth="1"/>
    <col min="7171" max="7172" width="0" style="32" hidden="1" customWidth="1"/>
    <col min="7173" max="7174" width="9" style="32" customWidth="1"/>
    <col min="7175" max="7176" width="10.140625" style="32" bestFit="1" customWidth="1"/>
    <col min="7177" max="7177" width="10.85546875" style="32" bestFit="1" customWidth="1"/>
    <col min="7178" max="7424" width="9.140625" style="32"/>
    <col min="7425" max="7425" width="98.85546875" style="32" customWidth="1"/>
    <col min="7426" max="7426" width="35.140625" style="32" bestFit="1" customWidth="1"/>
    <col min="7427" max="7428" width="0" style="32" hidden="1" customWidth="1"/>
    <col min="7429" max="7430" width="9" style="32" customWidth="1"/>
    <col min="7431" max="7432" width="10.140625" style="32" bestFit="1" customWidth="1"/>
    <col min="7433" max="7433" width="10.85546875" style="32" bestFit="1" customWidth="1"/>
    <col min="7434" max="7680" width="9.140625" style="32"/>
    <col min="7681" max="7681" width="98.85546875" style="32" customWidth="1"/>
    <col min="7682" max="7682" width="35.140625" style="32" bestFit="1" customWidth="1"/>
    <col min="7683" max="7684" width="0" style="32" hidden="1" customWidth="1"/>
    <col min="7685" max="7686" width="9" style="32" customWidth="1"/>
    <col min="7687" max="7688" width="10.140625" style="32" bestFit="1" customWidth="1"/>
    <col min="7689" max="7689" width="10.85546875" style="32" bestFit="1" customWidth="1"/>
    <col min="7690" max="7936" width="9.140625" style="32"/>
    <col min="7937" max="7937" width="98.85546875" style="32" customWidth="1"/>
    <col min="7938" max="7938" width="35.140625" style="32" bestFit="1" customWidth="1"/>
    <col min="7939" max="7940" width="0" style="32" hidden="1" customWidth="1"/>
    <col min="7941" max="7942" width="9" style="32" customWidth="1"/>
    <col min="7943" max="7944" width="10.140625" style="32" bestFit="1" customWidth="1"/>
    <col min="7945" max="7945" width="10.85546875" style="32" bestFit="1" customWidth="1"/>
    <col min="7946" max="8192" width="9.140625" style="32"/>
    <col min="8193" max="8193" width="98.85546875" style="32" customWidth="1"/>
    <col min="8194" max="8194" width="35.140625" style="32" bestFit="1" customWidth="1"/>
    <col min="8195" max="8196" width="0" style="32" hidden="1" customWidth="1"/>
    <col min="8197" max="8198" width="9" style="32" customWidth="1"/>
    <col min="8199" max="8200" width="10.140625" style="32" bestFit="1" customWidth="1"/>
    <col min="8201" max="8201" width="10.85546875" style="32" bestFit="1" customWidth="1"/>
    <col min="8202" max="8448" width="9.140625" style="32"/>
    <col min="8449" max="8449" width="98.85546875" style="32" customWidth="1"/>
    <col min="8450" max="8450" width="35.140625" style="32" bestFit="1" customWidth="1"/>
    <col min="8451" max="8452" width="0" style="32" hidden="1" customWidth="1"/>
    <col min="8453" max="8454" width="9" style="32" customWidth="1"/>
    <col min="8455" max="8456" width="10.140625" style="32" bestFit="1" customWidth="1"/>
    <col min="8457" max="8457" width="10.85546875" style="32" bestFit="1" customWidth="1"/>
    <col min="8458" max="8704" width="9.140625" style="32"/>
    <col min="8705" max="8705" width="98.85546875" style="32" customWidth="1"/>
    <col min="8706" max="8706" width="35.140625" style="32" bestFit="1" customWidth="1"/>
    <col min="8707" max="8708" width="0" style="32" hidden="1" customWidth="1"/>
    <col min="8709" max="8710" width="9" style="32" customWidth="1"/>
    <col min="8711" max="8712" width="10.140625" style="32" bestFit="1" customWidth="1"/>
    <col min="8713" max="8713" width="10.85546875" style="32" bestFit="1" customWidth="1"/>
    <col min="8714" max="8960" width="9.140625" style="32"/>
    <col min="8961" max="8961" width="98.85546875" style="32" customWidth="1"/>
    <col min="8962" max="8962" width="35.140625" style="32" bestFit="1" customWidth="1"/>
    <col min="8963" max="8964" width="0" style="32" hidden="1" customWidth="1"/>
    <col min="8965" max="8966" width="9" style="32" customWidth="1"/>
    <col min="8967" max="8968" width="10.140625" style="32" bestFit="1" customWidth="1"/>
    <col min="8969" max="8969" width="10.85546875" style="32" bestFit="1" customWidth="1"/>
    <col min="8970" max="9216" width="9.140625" style="32"/>
    <col min="9217" max="9217" width="98.85546875" style="32" customWidth="1"/>
    <col min="9218" max="9218" width="35.140625" style="32" bestFit="1" customWidth="1"/>
    <col min="9219" max="9220" width="0" style="32" hidden="1" customWidth="1"/>
    <col min="9221" max="9222" width="9" style="32" customWidth="1"/>
    <col min="9223" max="9224" width="10.140625" style="32" bestFit="1" customWidth="1"/>
    <col min="9225" max="9225" width="10.85546875" style="32" bestFit="1" customWidth="1"/>
    <col min="9226" max="9472" width="9.140625" style="32"/>
    <col min="9473" max="9473" width="98.85546875" style="32" customWidth="1"/>
    <col min="9474" max="9474" width="35.140625" style="32" bestFit="1" customWidth="1"/>
    <col min="9475" max="9476" width="0" style="32" hidden="1" customWidth="1"/>
    <col min="9477" max="9478" width="9" style="32" customWidth="1"/>
    <col min="9479" max="9480" width="10.140625" style="32" bestFit="1" customWidth="1"/>
    <col min="9481" max="9481" width="10.85546875" style="32" bestFit="1" customWidth="1"/>
    <col min="9482" max="9728" width="9.140625" style="32"/>
    <col min="9729" max="9729" width="98.85546875" style="32" customWidth="1"/>
    <col min="9730" max="9730" width="35.140625" style="32" bestFit="1" customWidth="1"/>
    <col min="9731" max="9732" width="0" style="32" hidden="1" customWidth="1"/>
    <col min="9733" max="9734" width="9" style="32" customWidth="1"/>
    <col min="9735" max="9736" width="10.140625" style="32" bestFit="1" customWidth="1"/>
    <col min="9737" max="9737" width="10.85546875" style="32" bestFit="1" customWidth="1"/>
    <col min="9738" max="9984" width="9.140625" style="32"/>
    <col min="9985" max="9985" width="98.85546875" style="32" customWidth="1"/>
    <col min="9986" max="9986" width="35.140625" style="32" bestFit="1" customWidth="1"/>
    <col min="9987" max="9988" width="0" style="32" hidden="1" customWidth="1"/>
    <col min="9989" max="9990" width="9" style="32" customWidth="1"/>
    <col min="9991" max="9992" width="10.140625" style="32" bestFit="1" customWidth="1"/>
    <col min="9993" max="9993" width="10.85546875" style="32" bestFit="1" customWidth="1"/>
    <col min="9994" max="10240" width="9.140625" style="32"/>
    <col min="10241" max="10241" width="98.85546875" style="32" customWidth="1"/>
    <col min="10242" max="10242" width="35.140625" style="32" bestFit="1" customWidth="1"/>
    <col min="10243" max="10244" width="0" style="32" hidden="1" customWidth="1"/>
    <col min="10245" max="10246" width="9" style="32" customWidth="1"/>
    <col min="10247" max="10248" width="10.140625" style="32" bestFit="1" customWidth="1"/>
    <col min="10249" max="10249" width="10.85546875" style="32" bestFit="1" customWidth="1"/>
    <col min="10250" max="10496" width="9.140625" style="32"/>
    <col min="10497" max="10497" width="98.85546875" style="32" customWidth="1"/>
    <col min="10498" max="10498" width="35.140625" style="32" bestFit="1" customWidth="1"/>
    <col min="10499" max="10500" width="0" style="32" hidden="1" customWidth="1"/>
    <col min="10501" max="10502" width="9" style="32" customWidth="1"/>
    <col min="10503" max="10504" width="10.140625" style="32" bestFit="1" customWidth="1"/>
    <col min="10505" max="10505" width="10.85546875" style="32" bestFit="1" customWidth="1"/>
    <col min="10506" max="10752" width="9.140625" style="32"/>
    <col min="10753" max="10753" width="98.85546875" style="32" customWidth="1"/>
    <col min="10754" max="10754" width="35.140625" style="32" bestFit="1" customWidth="1"/>
    <col min="10755" max="10756" width="0" style="32" hidden="1" customWidth="1"/>
    <col min="10757" max="10758" width="9" style="32" customWidth="1"/>
    <col min="10759" max="10760" width="10.140625" style="32" bestFit="1" customWidth="1"/>
    <col min="10761" max="10761" width="10.85546875" style="32" bestFit="1" customWidth="1"/>
    <col min="10762" max="11008" width="9.140625" style="32"/>
    <col min="11009" max="11009" width="98.85546875" style="32" customWidth="1"/>
    <col min="11010" max="11010" width="35.140625" style="32" bestFit="1" customWidth="1"/>
    <col min="11011" max="11012" width="0" style="32" hidden="1" customWidth="1"/>
    <col min="11013" max="11014" width="9" style="32" customWidth="1"/>
    <col min="11015" max="11016" width="10.140625" style="32" bestFit="1" customWidth="1"/>
    <col min="11017" max="11017" width="10.85546875" style="32" bestFit="1" customWidth="1"/>
    <col min="11018" max="11264" width="9.140625" style="32"/>
    <col min="11265" max="11265" width="98.85546875" style="32" customWidth="1"/>
    <col min="11266" max="11266" width="35.140625" style="32" bestFit="1" customWidth="1"/>
    <col min="11267" max="11268" width="0" style="32" hidden="1" customWidth="1"/>
    <col min="11269" max="11270" width="9" style="32" customWidth="1"/>
    <col min="11271" max="11272" width="10.140625" style="32" bestFit="1" customWidth="1"/>
    <col min="11273" max="11273" width="10.85546875" style="32" bestFit="1" customWidth="1"/>
    <col min="11274" max="11520" width="9.140625" style="32"/>
    <col min="11521" max="11521" width="98.85546875" style="32" customWidth="1"/>
    <col min="11522" max="11522" width="35.140625" style="32" bestFit="1" customWidth="1"/>
    <col min="11523" max="11524" width="0" style="32" hidden="1" customWidth="1"/>
    <col min="11525" max="11526" width="9" style="32" customWidth="1"/>
    <col min="11527" max="11528" width="10.140625" style="32" bestFit="1" customWidth="1"/>
    <col min="11529" max="11529" width="10.85546875" style="32" bestFit="1" customWidth="1"/>
    <col min="11530" max="11776" width="9.140625" style="32"/>
    <col min="11777" max="11777" width="98.85546875" style="32" customWidth="1"/>
    <col min="11778" max="11778" width="35.140625" style="32" bestFit="1" customWidth="1"/>
    <col min="11779" max="11780" width="0" style="32" hidden="1" customWidth="1"/>
    <col min="11781" max="11782" width="9" style="32" customWidth="1"/>
    <col min="11783" max="11784" width="10.140625" style="32" bestFit="1" customWidth="1"/>
    <col min="11785" max="11785" width="10.85546875" style="32" bestFit="1" customWidth="1"/>
    <col min="11786" max="12032" width="9.140625" style="32"/>
    <col min="12033" max="12033" width="98.85546875" style="32" customWidth="1"/>
    <col min="12034" max="12034" width="35.140625" style="32" bestFit="1" customWidth="1"/>
    <col min="12035" max="12036" width="0" style="32" hidden="1" customWidth="1"/>
    <col min="12037" max="12038" width="9" style="32" customWidth="1"/>
    <col min="12039" max="12040" width="10.140625" style="32" bestFit="1" customWidth="1"/>
    <col min="12041" max="12041" width="10.85546875" style="32" bestFit="1" customWidth="1"/>
    <col min="12042" max="12288" width="9.140625" style="32"/>
    <col min="12289" max="12289" width="98.85546875" style="32" customWidth="1"/>
    <col min="12290" max="12290" width="35.140625" style="32" bestFit="1" customWidth="1"/>
    <col min="12291" max="12292" width="0" style="32" hidden="1" customWidth="1"/>
    <col min="12293" max="12294" width="9" style="32" customWidth="1"/>
    <col min="12295" max="12296" width="10.140625" style="32" bestFit="1" customWidth="1"/>
    <col min="12297" max="12297" width="10.85546875" style="32" bestFit="1" customWidth="1"/>
    <col min="12298" max="12544" width="9.140625" style="32"/>
    <col min="12545" max="12545" width="98.85546875" style="32" customWidth="1"/>
    <col min="12546" max="12546" width="35.140625" style="32" bestFit="1" customWidth="1"/>
    <col min="12547" max="12548" width="0" style="32" hidden="1" customWidth="1"/>
    <col min="12549" max="12550" width="9" style="32" customWidth="1"/>
    <col min="12551" max="12552" width="10.140625" style="32" bestFit="1" customWidth="1"/>
    <col min="12553" max="12553" width="10.85546875" style="32" bestFit="1" customWidth="1"/>
    <col min="12554" max="12800" width="9.140625" style="32"/>
    <col min="12801" max="12801" width="98.85546875" style="32" customWidth="1"/>
    <col min="12802" max="12802" width="35.140625" style="32" bestFit="1" customWidth="1"/>
    <col min="12803" max="12804" width="0" style="32" hidden="1" customWidth="1"/>
    <col min="12805" max="12806" width="9" style="32" customWidth="1"/>
    <col min="12807" max="12808" width="10.140625" style="32" bestFit="1" customWidth="1"/>
    <col min="12809" max="12809" width="10.85546875" style="32" bestFit="1" customWidth="1"/>
    <col min="12810" max="13056" width="9.140625" style="32"/>
    <col min="13057" max="13057" width="98.85546875" style="32" customWidth="1"/>
    <col min="13058" max="13058" width="35.140625" style="32" bestFit="1" customWidth="1"/>
    <col min="13059" max="13060" width="0" style="32" hidden="1" customWidth="1"/>
    <col min="13061" max="13062" width="9" style="32" customWidth="1"/>
    <col min="13063" max="13064" width="10.140625" style="32" bestFit="1" customWidth="1"/>
    <col min="13065" max="13065" width="10.85546875" style="32" bestFit="1" customWidth="1"/>
    <col min="13066" max="13312" width="9.140625" style="32"/>
    <col min="13313" max="13313" width="98.85546875" style="32" customWidth="1"/>
    <col min="13314" max="13314" width="35.140625" style="32" bestFit="1" customWidth="1"/>
    <col min="13315" max="13316" width="0" style="32" hidden="1" customWidth="1"/>
    <col min="13317" max="13318" width="9" style="32" customWidth="1"/>
    <col min="13319" max="13320" width="10.140625" style="32" bestFit="1" customWidth="1"/>
    <col min="13321" max="13321" width="10.85546875" style="32" bestFit="1" customWidth="1"/>
    <col min="13322" max="13568" width="9.140625" style="32"/>
    <col min="13569" max="13569" width="98.85546875" style="32" customWidth="1"/>
    <col min="13570" max="13570" width="35.140625" style="32" bestFit="1" customWidth="1"/>
    <col min="13571" max="13572" width="0" style="32" hidden="1" customWidth="1"/>
    <col min="13573" max="13574" width="9" style="32" customWidth="1"/>
    <col min="13575" max="13576" width="10.140625" style="32" bestFit="1" customWidth="1"/>
    <col min="13577" max="13577" width="10.85546875" style="32" bestFit="1" customWidth="1"/>
    <col min="13578" max="13824" width="9.140625" style="32"/>
    <col min="13825" max="13825" width="98.85546875" style="32" customWidth="1"/>
    <col min="13826" max="13826" width="35.140625" style="32" bestFit="1" customWidth="1"/>
    <col min="13827" max="13828" width="0" style="32" hidden="1" customWidth="1"/>
    <col min="13829" max="13830" width="9" style="32" customWidth="1"/>
    <col min="13831" max="13832" width="10.140625" style="32" bestFit="1" customWidth="1"/>
    <col min="13833" max="13833" width="10.85546875" style="32" bestFit="1" customWidth="1"/>
    <col min="13834" max="14080" width="9.140625" style="32"/>
    <col min="14081" max="14081" width="98.85546875" style="32" customWidth="1"/>
    <col min="14082" max="14082" width="35.140625" style="32" bestFit="1" customWidth="1"/>
    <col min="14083" max="14084" width="0" style="32" hidden="1" customWidth="1"/>
    <col min="14085" max="14086" width="9" style="32" customWidth="1"/>
    <col min="14087" max="14088" width="10.140625" style="32" bestFit="1" customWidth="1"/>
    <col min="14089" max="14089" width="10.85546875" style="32" bestFit="1" customWidth="1"/>
    <col min="14090" max="14336" width="9.140625" style="32"/>
    <col min="14337" max="14337" width="98.85546875" style="32" customWidth="1"/>
    <col min="14338" max="14338" width="35.140625" style="32" bestFit="1" customWidth="1"/>
    <col min="14339" max="14340" width="0" style="32" hidden="1" customWidth="1"/>
    <col min="14341" max="14342" width="9" style="32" customWidth="1"/>
    <col min="14343" max="14344" width="10.140625" style="32" bestFit="1" customWidth="1"/>
    <col min="14345" max="14345" width="10.85546875" style="32" bestFit="1" customWidth="1"/>
    <col min="14346" max="14592" width="9.140625" style="32"/>
    <col min="14593" max="14593" width="98.85546875" style="32" customWidth="1"/>
    <col min="14594" max="14594" width="35.140625" style="32" bestFit="1" customWidth="1"/>
    <col min="14595" max="14596" width="0" style="32" hidden="1" customWidth="1"/>
    <col min="14597" max="14598" width="9" style="32" customWidth="1"/>
    <col min="14599" max="14600" width="10.140625" style="32" bestFit="1" customWidth="1"/>
    <col min="14601" max="14601" width="10.85546875" style="32" bestFit="1" customWidth="1"/>
    <col min="14602" max="14848" width="9.140625" style="32"/>
    <col min="14849" max="14849" width="98.85546875" style="32" customWidth="1"/>
    <col min="14850" max="14850" width="35.140625" style="32" bestFit="1" customWidth="1"/>
    <col min="14851" max="14852" width="0" style="32" hidden="1" customWidth="1"/>
    <col min="14853" max="14854" width="9" style="32" customWidth="1"/>
    <col min="14855" max="14856" width="10.140625" style="32" bestFit="1" customWidth="1"/>
    <col min="14857" max="14857" width="10.85546875" style="32" bestFit="1" customWidth="1"/>
    <col min="14858" max="15104" width="9.140625" style="32"/>
    <col min="15105" max="15105" width="98.85546875" style="32" customWidth="1"/>
    <col min="15106" max="15106" width="35.140625" style="32" bestFit="1" customWidth="1"/>
    <col min="15107" max="15108" width="0" style="32" hidden="1" customWidth="1"/>
    <col min="15109" max="15110" width="9" style="32" customWidth="1"/>
    <col min="15111" max="15112" width="10.140625" style="32" bestFit="1" customWidth="1"/>
    <col min="15113" max="15113" width="10.85546875" style="32" bestFit="1" customWidth="1"/>
    <col min="15114" max="15360" width="9.140625" style="32"/>
    <col min="15361" max="15361" width="98.85546875" style="32" customWidth="1"/>
    <col min="15362" max="15362" width="35.140625" style="32" bestFit="1" customWidth="1"/>
    <col min="15363" max="15364" width="0" style="32" hidden="1" customWidth="1"/>
    <col min="15365" max="15366" width="9" style="32" customWidth="1"/>
    <col min="15367" max="15368" width="10.140625" style="32" bestFit="1" customWidth="1"/>
    <col min="15369" max="15369" width="10.85546875" style="32" bestFit="1" customWidth="1"/>
    <col min="15370" max="15616" width="9.140625" style="32"/>
    <col min="15617" max="15617" width="98.85546875" style="32" customWidth="1"/>
    <col min="15618" max="15618" width="35.140625" style="32" bestFit="1" customWidth="1"/>
    <col min="15619" max="15620" width="0" style="32" hidden="1" customWidth="1"/>
    <col min="15621" max="15622" width="9" style="32" customWidth="1"/>
    <col min="15623" max="15624" width="10.140625" style="32" bestFit="1" customWidth="1"/>
    <col min="15625" max="15625" width="10.85546875" style="32" bestFit="1" customWidth="1"/>
    <col min="15626" max="15872" width="9.140625" style="32"/>
    <col min="15873" max="15873" width="98.85546875" style="32" customWidth="1"/>
    <col min="15874" max="15874" width="35.140625" style="32" bestFit="1" customWidth="1"/>
    <col min="15875" max="15876" width="0" style="32" hidden="1" customWidth="1"/>
    <col min="15877" max="15878" width="9" style="32" customWidth="1"/>
    <col min="15879" max="15880" width="10.140625" style="32" bestFit="1" customWidth="1"/>
    <col min="15881" max="15881" width="10.85546875" style="32" bestFit="1" customWidth="1"/>
    <col min="15882" max="16128" width="9.140625" style="32"/>
    <col min="16129" max="16129" width="98.85546875" style="32" customWidth="1"/>
    <col min="16130" max="16130" width="35.140625" style="32" bestFit="1" customWidth="1"/>
    <col min="16131" max="16132" width="0" style="32" hidden="1" customWidth="1"/>
    <col min="16133" max="16134" width="9" style="32" customWidth="1"/>
    <col min="16135" max="16136" width="10.140625" style="32" bestFit="1" customWidth="1"/>
    <col min="16137" max="16137" width="10.85546875" style="32" bestFit="1" customWidth="1"/>
    <col min="16138" max="16384" width="9.140625" style="32"/>
  </cols>
  <sheetData>
    <row r="1" spans="1:9" ht="16.5" customHeight="1" x14ac:dyDescent="0.2">
      <c r="A1" s="31"/>
      <c r="B1" s="126"/>
      <c r="C1" s="126"/>
      <c r="D1" s="126"/>
      <c r="E1" s="126"/>
      <c r="F1" s="126"/>
      <c r="G1" s="284"/>
      <c r="H1" s="284"/>
      <c r="I1" s="284"/>
    </row>
    <row r="2" spans="1:9" ht="16.5" customHeight="1" x14ac:dyDescent="0.2">
      <c r="A2" s="31"/>
      <c r="B2" s="33"/>
      <c r="C2" s="34"/>
      <c r="D2" s="34"/>
      <c r="E2" s="34"/>
      <c r="F2" s="34"/>
      <c r="G2" s="34"/>
      <c r="H2" s="34"/>
      <c r="I2" s="34"/>
    </row>
    <row r="3" spans="1:9" s="93" customFormat="1" ht="16.5" customHeight="1" x14ac:dyDescent="0.2">
      <c r="A3" s="285" t="s">
        <v>559</v>
      </c>
      <c r="B3" s="285"/>
      <c r="C3" s="285"/>
      <c r="D3" s="285"/>
      <c r="E3" s="285"/>
      <c r="F3" s="285"/>
      <c r="G3" s="285"/>
      <c r="H3" s="285"/>
      <c r="I3" s="285"/>
    </row>
    <row r="4" spans="1:9" s="93" customFormat="1" ht="16.5" customHeight="1" x14ac:dyDescent="0.2">
      <c r="A4" s="286" t="s">
        <v>205</v>
      </c>
      <c r="B4" s="287" t="s">
        <v>206</v>
      </c>
      <c r="C4" s="183" t="s">
        <v>207</v>
      </c>
      <c r="D4" s="183" t="s">
        <v>207</v>
      </c>
      <c r="E4" s="183" t="s">
        <v>207</v>
      </c>
      <c r="F4" s="183" t="s">
        <v>208</v>
      </c>
      <c r="G4" s="287" t="s">
        <v>209</v>
      </c>
      <c r="H4" s="273"/>
      <c r="I4" s="273"/>
    </row>
    <row r="5" spans="1:9" s="93" customFormat="1" ht="16.5" customHeight="1" x14ac:dyDescent="0.2">
      <c r="A5" s="286"/>
      <c r="B5" s="287"/>
      <c r="C5" s="94" t="s">
        <v>465</v>
      </c>
      <c r="D5" s="94" t="s">
        <v>275</v>
      </c>
      <c r="E5" s="94" t="s">
        <v>329</v>
      </c>
      <c r="F5" s="94" t="s">
        <v>385</v>
      </c>
      <c r="G5" s="94" t="s">
        <v>422</v>
      </c>
      <c r="H5" s="94" t="s">
        <v>456</v>
      </c>
      <c r="I5" s="183" t="s">
        <v>560</v>
      </c>
    </row>
    <row r="6" spans="1:9" s="93" customFormat="1" ht="16.5" customHeight="1" x14ac:dyDescent="0.2">
      <c r="A6" s="272" t="s">
        <v>342</v>
      </c>
      <c r="B6" s="273"/>
      <c r="C6" s="273"/>
      <c r="D6" s="273"/>
      <c r="E6" s="273"/>
      <c r="F6" s="273"/>
      <c r="G6" s="273"/>
      <c r="H6" s="273"/>
      <c r="I6" s="273"/>
    </row>
    <row r="7" spans="1:9" s="99" customFormat="1" ht="16.5" customHeight="1" x14ac:dyDescent="0.25">
      <c r="A7" s="203" t="s">
        <v>210</v>
      </c>
      <c r="B7" s="95" t="s">
        <v>211</v>
      </c>
      <c r="C7" s="98">
        <v>5.0380000000000003</v>
      </c>
      <c r="D7" s="98">
        <v>5.0490000000000004</v>
      </c>
      <c r="E7" s="98">
        <v>5.056</v>
      </c>
      <c r="F7" s="98">
        <v>5.0999999999999996</v>
      </c>
      <c r="G7" s="98">
        <v>5.15</v>
      </c>
      <c r="H7" s="98">
        <v>5.2</v>
      </c>
      <c r="I7" s="98">
        <v>5.25</v>
      </c>
    </row>
    <row r="8" spans="1:9" s="99" customFormat="1" ht="16.5" customHeight="1" x14ac:dyDescent="0.25">
      <c r="A8" s="278" t="s">
        <v>212</v>
      </c>
      <c r="B8" s="279"/>
      <c r="C8" s="100" t="e">
        <f>SUM(C7/#REF!*100)</f>
        <v>#REF!</v>
      </c>
      <c r="D8" s="100">
        <f>SUM(D7/C7*100)</f>
        <v>100.21834061135371</v>
      </c>
      <c r="E8" s="100">
        <f>SUM(E7/D7*100)</f>
        <v>100.1386413151119</v>
      </c>
      <c r="F8" s="100">
        <f>SUM(F7/E7*100)</f>
        <v>100.87025316455696</v>
      </c>
      <c r="G8" s="100">
        <f>SUM(G7/F7*100)</f>
        <v>100.98039215686276</v>
      </c>
      <c r="H8" s="100">
        <f>SUM((H7/G7)*100)</f>
        <v>100.97087378640776</v>
      </c>
      <c r="I8" s="100">
        <f>SUM((I7/H7)*100)</f>
        <v>100.96153846153845</v>
      </c>
    </row>
    <row r="9" spans="1:9" s="99" customFormat="1" ht="16.5" customHeight="1" x14ac:dyDescent="0.25">
      <c r="A9" s="203" t="s">
        <v>213</v>
      </c>
      <c r="B9" s="95" t="s">
        <v>211</v>
      </c>
      <c r="C9" s="98">
        <v>3.2759999999999998</v>
      </c>
      <c r="D9" s="98">
        <v>3.2559999999999998</v>
      </c>
      <c r="E9" s="98">
        <v>3.262</v>
      </c>
      <c r="F9" s="98">
        <v>3.3</v>
      </c>
      <c r="G9" s="98">
        <v>3.33</v>
      </c>
      <c r="H9" s="98">
        <v>3.35</v>
      </c>
      <c r="I9" s="98">
        <v>3.4</v>
      </c>
    </row>
    <row r="10" spans="1:9" s="99" customFormat="1" ht="16.5" customHeight="1" x14ac:dyDescent="0.25">
      <c r="A10" s="278" t="s">
        <v>212</v>
      </c>
      <c r="B10" s="279"/>
      <c r="C10" s="100" t="e">
        <f>SUM(C9/#REF!*100)</f>
        <v>#REF!</v>
      </c>
      <c r="D10" s="100">
        <f t="shared" ref="D10:I10" si="0">SUM(D9/C9*100)</f>
        <v>99.389499389499392</v>
      </c>
      <c r="E10" s="100">
        <f t="shared" si="0"/>
        <v>100.18427518427519</v>
      </c>
      <c r="F10" s="100">
        <f t="shared" si="0"/>
        <v>101.16492949110973</v>
      </c>
      <c r="G10" s="100">
        <f t="shared" si="0"/>
        <v>100.90909090909092</v>
      </c>
      <c r="H10" s="100">
        <f t="shared" si="0"/>
        <v>100.60060060060061</v>
      </c>
      <c r="I10" s="100">
        <f t="shared" si="0"/>
        <v>101.49253731343283</v>
      </c>
    </row>
    <row r="11" spans="1:9" s="99" customFormat="1" ht="16.5" customHeight="1" x14ac:dyDescent="0.25">
      <c r="A11" s="203" t="s">
        <v>214</v>
      </c>
      <c r="B11" s="95" t="s">
        <v>211</v>
      </c>
      <c r="C11" s="98">
        <f t="shared" ref="C11:I11" si="1">C7-C9</f>
        <v>1.7620000000000005</v>
      </c>
      <c r="D11" s="98">
        <f t="shared" si="1"/>
        <v>1.7930000000000006</v>
      </c>
      <c r="E11" s="98">
        <f t="shared" si="1"/>
        <v>1.794</v>
      </c>
      <c r="F11" s="98">
        <f t="shared" si="1"/>
        <v>1.7999999999999998</v>
      </c>
      <c r="G11" s="98">
        <f t="shared" si="1"/>
        <v>1.8200000000000003</v>
      </c>
      <c r="H11" s="98">
        <f t="shared" si="1"/>
        <v>1.85</v>
      </c>
      <c r="I11" s="98">
        <f t="shared" si="1"/>
        <v>1.85</v>
      </c>
    </row>
    <row r="12" spans="1:9" s="93" customFormat="1" ht="16.5" customHeight="1" x14ac:dyDescent="0.2">
      <c r="A12" s="272" t="s">
        <v>215</v>
      </c>
      <c r="B12" s="273"/>
      <c r="C12" s="273"/>
      <c r="D12" s="273"/>
      <c r="E12" s="273"/>
      <c r="F12" s="273"/>
      <c r="G12" s="273"/>
      <c r="H12" s="273"/>
      <c r="I12" s="273"/>
    </row>
    <row r="13" spans="1:9" s="99" customFormat="1" ht="16.5" customHeight="1" x14ac:dyDescent="0.25">
      <c r="A13" s="274" t="s">
        <v>343</v>
      </c>
      <c r="B13" s="274"/>
      <c r="C13" s="275"/>
      <c r="D13" s="275"/>
      <c r="E13" s="275"/>
      <c r="F13" s="275"/>
      <c r="G13" s="275"/>
      <c r="H13" s="275"/>
      <c r="I13" s="275"/>
    </row>
    <row r="14" spans="1:9" s="99" customFormat="1" ht="16.5" customHeight="1" x14ac:dyDescent="0.25">
      <c r="A14" s="204" t="s">
        <v>216</v>
      </c>
      <c r="B14" s="101" t="s">
        <v>217</v>
      </c>
      <c r="C14" s="138">
        <f>536.39+382.7+162.643+1149.95*1000*2763/1000000</f>
        <v>4259.0448500000002</v>
      </c>
      <c r="D14" s="138">
        <f>658.81+403.3+194.89+1149.95*1000*3008/1000000</f>
        <v>4716.0496000000003</v>
      </c>
      <c r="E14" s="138">
        <f>676.773+438.7+198.553+914.622*1000*4426/1000000</f>
        <v>5362.1429719999996</v>
      </c>
      <c r="F14" s="138">
        <f>851.307+456.2+199.2+880*1000*4600/1000000</f>
        <v>5554.7070000000003</v>
      </c>
      <c r="G14" s="138">
        <f>913.542+474.5+200.3+950*1000*4600/1000000-0.34</f>
        <v>5958.0019999999995</v>
      </c>
      <c r="H14" s="138">
        <f>(950+500+210)+(950*1000*4700/1000000)</f>
        <v>6125</v>
      </c>
      <c r="I14" s="138">
        <f>(1000+530+220)+(950*1000*4800/1000000)</f>
        <v>6310</v>
      </c>
    </row>
    <row r="15" spans="1:9" s="99" customFormat="1" ht="16.5" customHeight="1" x14ac:dyDescent="0.25">
      <c r="A15" s="278" t="s">
        <v>218</v>
      </c>
      <c r="B15" s="279"/>
      <c r="C15" s="139" t="e">
        <f>C14/#REF!*100</f>
        <v>#REF!</v>
      </c>
      <c r="D15" s="139">
        <f t="shared" ref="D15:I15" si="2">D14/C14*100</f>
        <v>110.73021689358356</v>
      </c>
      <c r="E15" s="139">
        <f>E14/D14*100</f>
        <v>113.69988500545031</v>
      </c>
      <c r="F15" s="139">
        <f>F14/E14*100</f>
        <v>103.59117668076981</v>
      </c>
      <c r="G15" s="139">
        <f>G14/F14*100</f>
        <v>107.26041895639138</v>
      </c>
      <c r="H15" s="139">
        <f t="shared" si="2"/>
        <v>102.80291950220897</v>
      </c>
      <c r="I15" s="139">
        <f t="shared" si="2"/>
        <v>103.0204081632653</v>
      </c>
    </row>
    <row r="16" spans="1:9" s="99" customFormat="1" ht="16.5" customHeight="1" x14ac:dyDescent="0.25">
      <c r="A16" s="274" t="s">
        <v>220</v>
      </c>
      <c r="B16" s="275"/>
      <c r="C16" s="275"/>
      <c r="D16" s="275"/>
      <c r="E16" s="275"/>
      <c r="F16" s="275"/>
      <c r="G16" s="275"/>
      <c r="H16" s="275"/>
      <c r="I16" s="275"/>
    </row>
    <row r="17" spans="1:9" s="99" customFormat="1" ht="16.5" customHeight="1" x14ac:dyDescent="0.25">
      <c r="A17" s="274" t="s">
        <v>344</v>
      </c>
      <c r="B17" s="275"/>
      <c r="C17" s="275"/>
      <c r="D17" s="275"/>
      <c r="E17" s="275"/>
      <c r="F17" s="275"/>
      <c r="G17" s="275"/>
      <c r="H17" s="275"/>
      <c r="I17" s="275"/>
    </row>
    <row r="18" spans="1:9" s="99" customFormat="1" ht="16.5" customHeight="1" x14ac:dyDescent="0.25">
      <c r="A18" s="203" t="s">
        <v>216</v>
      </c>
      <c r="B18" s="101" t="s">
        <v>221</v>
      </c>
      <c r="C18" s="140">
        <f>193.59+36.9</f>
        <v>230.49</v>
      </c>
      <c r="D18" s="140">
        <f>231+27</f>
        <v>258</v>
      </c>
      <c r="E18" s="140">
        <f>238.76+23.5</f>
        <v>262.26</v>
      </c>
      <c r="F18" s="140">
        <f>273.46+24.4</f>
        <v>297.85999999999996</v>
      </c>
      <c r="G18" s="140">
        <f>324.21+25.4</f>
        <v>349.60999999999996</v>
      </c>
      <c r="H18" s="140">
        <v>370.59</v>
      </c>
      <c r="I18" s="140">
        <v>392.82</v>
      </c>
    </row>
    <row r="19" spans="1:9" s="99" customFormat="1" ht="16.5" customHeight="1" x14ac:dyDescent="0.25">
      <c r="A19" s="278" t="s">
        <v>218</v>
      </c>
      <c r="B19" s="279"/>
      <c r="C19" s="141" t="e">
        <f>SUM((C18/#REF!)*100)</f>
        <v>#REF!</v>
      </c>
      <c r="D19" s="141">
        <f t="shared" ref="D19:I19" si="3">SUM((D18/C18)*100)</f>
        <v>111.93544188468046</v>
      </c>
      <c r="E19" s="205">
        <f>E18/D18*100</f>
        <v>101.65116279069768</v>
      </c>
      <c r="F19" s="139">
        <f>F18/E18*100</f>
        <v>113.57431556470677</v>
      </c>
      <c r="G19" s="141">
        <f>SUM((G18/F18)*100)</f>
        <v>117.37393406298263</v>
      </c>
      <c r="H19" s="141">
        <f t="shared" si="3"/>
        <v>106.0009725122279</v>
      </c>
      <c r="I19" s="141">
        <f t="shared" si="3"/>
        <v>105.99854286408161</v>
      </c>
    </row>
    <row r="20" spans="1:9" s="99" customFormat="1" ht="16.5" customHeight="1" x14ac:dyDescent="0.25">
      <c r="A20" s="274" t="s">
        <v>223</v>
      </c>
      <c r="B20" s="274"/>
      <c r="C20" s="275"/>
      <c r="D20" s="275"/>
      <c r="E20" s="275"/>
      <c r="F20" s="275"/>
      <c r="G20" s="275"/>
      <c r="H20" s="275"/>
      <c r="I20" s="275"/>
    </row>
    <row r="21" spans="1:9" s="99" customFormat="1" ht="16.5" customHeight="1" x14ac:dyDescent="0.25">
      <c r="A21" s="206" t="s">
        <v>224</v>
      </c>
      <c r="B21" s="102" t="s">
        <v>225</v>
      </c>
      <c r="C21" s="143">
        <v>51103</v>
      </c>
      <c r="D21" s="143">
        <v>56358.5</v>
      </c>
      <c r="E21" s="143">
        <v>55205.3</v>
      </c>
      <c r="F21" s="143">
        <v>54617.3</v>
      </c>
      <c r="G21" s="143">
        <v>54219</v>
      </c>
      <c r="H21" s="143">
        <v>54761</v>
      </c>
      <c r="I21" s="143">
        <v>55308.800000000003</v>
      </c>
    </row>
    <row r="22" spans="1:9" s="99" customFormat="1" ht="16.5" customHeight="1" x14ac:dyDescent="0.25">
      <c r="A22" s="282" t="s">
        <v>226</v>
      </c>
      <c r="B22" s="283"/>
      <c r="C22" s="283"/>
      <c r="D22" s="283"/>
      <c r="E22" s="283"/>
      <c r="F22" s="283"/>
      <c r="G22" s="283"/>
      <c r="H22" s="283"/>
      <c r="I22" s="275"/>
    </row>
    <row r="23" spans="1:9" s="99" customFormat="1" ht="16.5" customHeight="1" x14ac:dyDescent="0.25">
      <c r="A23" s="206" t="s">
        <v>345</v>
      </c>
      <c r="B23" s="103" t="s">
        <v>225</v>
      </c>
      <c r="C23" s="144">
        <v>36910</v>
      </c>
      <c r="D23" s="144">
        <v>41665</v>
      </c>
      <c r="E23" s="144">
        <v>40561</v>
      </c>
      <c r="F23" s="144">
        <v>38353</v>
      </c>
      <c r="G23" s="144">
        <v>39607</v>
      </c>
      <c r="H23" s="144">
        <v>40003.07</v>
      </c>
      <c r="I23" s="144">
        <v>40403.1</v>
      </c>
    </row>
    <row r="24" spans="1:9" s="99" customFormat="1" ht="16.5" customHeight="1" x14ac:dyDescent="0.25">
      <c r="A24" s="207" t="s">
        <v>346</v>
      </c>
      <c r="B24" s="103" t="s">
        <v>225</v>
      </c>
      <c r="C24" s="144">
        <v>496.7</v>
      </c>
      <c r="D24" s="144">
        <v>496</v>
      </c>
      <c r="E24" s="144">
        <v>367.2</v>
      </c>
      <c r="F24" s="144">
        <v>393.8</v>
      </c>
      <c r="G24" s="144">
        <v>358.2</v>
      </c>
      <c r="H24" s="144">
        <v>361.78</v>
      </c>
      <c r="I24" s="144">
        <v>365.4</v>
      </c>
    </row>
    <row r="25" spans="1:9" s="99" customFormat="1" ht="16.5" customHeight="1" x14ac:dyDescent="0.25">
      <c r="A25" s="206" t="s">
        <v>347</v>
      </c>
      <c r="B25" s="103" t="s">
        <v>225</v>
      </c>
      <c r="C25" s="144">
        <v>4653.78</v>
      </c>
      <c r="D25" s="144">
        <v>4503.3</v>
      </c>
      <c r="E25" s="144">
        <v>4705.33</v>
      </c>
      <c r="F25" s="144">
        <v>4818.6000000000004</v>
      </c>
      <c r="G25" s="144">
        <v>4965.8</v>
      </c>
      <c r="H25" s="144">
        <v>5015.46</v>
      </c>
      <c r="I25" s="144">
        <v>5065.6099999999997</v>
      </c>
    </row>
    <row r="26" spans="1:9" s="99" customFormat="1" ht="16.5" customHeight="1" x14ac:dyDescent="0.25">
      <c r="A26" s="274" t="s">
        <v>348</v>
      </c>
      <c r="B26" s="274"/>
      <c r="C26" s="275"/>
      <c r="D26" s="275"/>
      <c r="E26" s="275"/>
      <c r="F26" s="275"/>
      <c r="G26" s="275"/>
      <c r="H26" s="275"/>
      <c r="I26" s="275"/>
    </row>
    <row r="27" spans="1:9" s="99" customFormat="1" ht="16.5" customHeight="1" x14ac:dyDescent="0.25">
      <c r="A27" s="203" t="s">
        <v>216</v>
      </c>
      <c r="B27" s="101" t="s">
        <v>221</v>
      </c>
      <c r="C27" s="145">
        <f>C30+C32</f>
        <v>133.53</v>
      </c>
      <c r="D27" s="145">
        <f>D30+D32</f>
        <v>123.848</v>
      </c>
      <c r="E27" s="145">
        <f>E30+E32+E34</f>
        <v>127.50000000000001</v>
      </c>
      <c r="F27" s="145">
        <f>F30+F32+F34</f>
        <v>140.49700000000001</v>
      </c>
      <c r="G27" s="145">
        <f>G30+G32+G34</f>
        <v>147.5</v>
      </c>
      <c r="H27" s="145">
        <f>H30+H32+H34</f>
        <v>147.5</v>
      </c>
      <c r="I27" s="145">
        <f>I30+I32+I34</f>
        <v>147.5</v>
      </c>
    </row>
    <row r="28" spans="1:9" s="99" customFormat="1" ht="16.5" customHeight="1" x14ac:dyDescent="0.25">
      <c r="A28" s="278" t="s">
        <v>218</v>
      </c>
      <c r="B28" s="279"/>
      <c r="C28" s="146" t="e">
        <f>SUM((C27/#REF!)*100)</f>
        <v>#REF!</v>
      </c>
      <c r="D28" s="146">
        <f>SUM((D27/C27)*100)</f>
        <v>92.749194937467237</v>
      </c>
      <c r="E28" s="205">
        <f>E27/D27*100</f>
        <v>102.94877591886831</v>
      </c>
      <c r="F28" s="139">
        <f>F27/E27*100</f>
        <v>110.19372549019609</v>
      </c>
      <c r="G28" s="146">
        <f>SUM((G27/F27)*100)</f>
        <v>104.98444806650676</v>
      </c>
      <c r="H28" s="142">
        <f>SUM(H27/G27*100)</f>
        <v>100</v>
      </c>
      <c r="I28" s="142">
        <f>SUM(I27/H27*100)</f>
        <v>100</v>
      </c>
    </row>
    <row r="29" spans="1:9" s="99" customFormat="1" ht="16.5" customHeight="1" x14ac:dyDescent="0.25">
      <c r="A29" s="274" t="s">
        <v>227</v>
      </c>
      <c r="B29" s="275"/>
      <c r="C29" s="275"/>
      <c r="D29" s="275"/>
      <c r="E29" s="275"/>
      <c r="F29" s="275"/>
      <c r="G29" s="275"/>
      <c r="H29" s="275"/>
      <c r="I29" s="275"/>
    </row>
    <row r="30" spans="1:9" s="99" customFormat="1" ht="16.5" customHeight="1" x14ac:dyDescent="0.25">
      <c r="A30" s="208" t="s">
        <v>349</v>
      </c>
      <c r="B30" s="104" t="s">
        <v>221</v>
      </c>
      <c r="C30" s="97">
        <v>106.435</v>
      </c>
      <c r="D30" s="97">
        <v>91.653999999999996</v>
      </c>
      <c r="E30" s="97">
        <v>82.917000000000002</v>
      </c>
      <c r="F30" s="97">
        <v>95.997</v>
      </c>
      <c r="G30" s="97">
        <v>100</v>
      </c>
      <c r="H30" s="97">
        <v>100</v>
      </c>
      <c r="I30" s="97">
        <v>100</v>
      </c>
    </row>
    <row r="31" spans="1:9" s="99" customFormat="1" ht="16.5" customHeight="1" x14ac:dyDescent="0.25">
      <c r="A31" s="278" t="s">
        <v>218</v>
      </c>
      <c r="B31" s="279"/>
      <c r="C31" s="146" t="e">
        <f>SUM((C30/#REF!)*100)</f>
        <v>#REF!</v>
      </c>
      <c r="D31" s="146">
        <f>SUM((D30/C30)*100)</f>
        <v>86.112650913703192</v>
      </c>
      <c r="E31" s="205">
        <f>E30/D30*100</f>
        <v>90.467410042114921</v>
      </c>
      <c r="F31" s="139">
        <f>F30/E30*100</f>
        <v>115.77481095553384</v>
      </c>
      <c r="G31" s="146">
        <f>SUM((G30/F30)*100)</f>
        <v>104.16992197672843</v>
      </c>
      <c r="H31" s="147">
        <f>SUM(H30/G30*100)</f>
        <v>100</v>
      </c>
      <c r="I31" s="147">
        <f>SUM(I30/H30*100)</f>
        <v>100</v>
      </c>
    </row>
    <row r="32" spans="1:9" s="99" customFormat="1" ht="16.5" customHeight="1" x14ac:dyDescent="0.25">
      <c r="A32" s="209" t="s">
        <v>350</v>
      </c>
      <c r="B32" s="104" t="s">
        <v>221</v>
      </c>
      <c r="C32" s="148">
        <v>27.094999999999999</v>
      </c>
      <c r="D32" s="148">
        <v>32.194000000000003</v>
      </c>
      <c r="E32" s="149">
        <v>43.383000000000003</v>
      </c>
      <c r="F32" s="149">
        <v>42</v>
      </c>
      <c r="G32" s="149">
        <v>45</v>
      </c>
      <c r="H32" s="148">
        <v>45</v>
      </c>
      <c r="I32" s="148">
        <v>45</v>
      </c>
    </row>
    <row r="33" spans="1:9" s="99" customFormat="1" ht="16.5" customHeight="1" x14ac:dyDescent="0.25">
      <c r="A33" s="278" t="s">
        <v>218</v>
      </c>
      <c r="B33" s="279"/>
      <c r="C33" s="146" t="e">
        <f>SUM((C32/#REF!)*100)</f>
        <v>#REF!</v>
      </c>
      <c r="D33" s="146">
        <f>SUM((D32/C32)*100)</f>
        <v>118.81897028972136</v>
      </c>
      <c r="E33" s="205">
        <f>E32/D32*100</f>
        <v>134.75492327762936</v>
      </c>
      <c r="F33" s="139">
        <f>F32/E32*100</f>
        <v>96.812115344720269</v>
      </c>
      <c r="G33" s="146">
        <f>SUM((G32/F32)*100)</f>
        <v>107.14285714285714</v>
      </c>
      <c r="H33" s="147">
        <f>SUM(H32/G32*100)</f>
        <v>100</v>
      </c>
      <c r="I33" s="147">
        <f>SUM(I32/H32*100)</f>
        <v>100</v>
      </c>
    </row>
    <row r="34" spans="1:9" s="99" customFormat="1" ht="16.5" customHeight="1" x14ac:dyDescent="0.25">
      <c r="A34" s="209" t="s">
        <v>561</v>
      </c>
      <c r="B34" s="104" t="s">
        <v>221</v>
      </c>
      <c r="C34" s="146"/>
      <c r="D34" s="146"/>
      <c r="E34" s="205">
        <v>1.2</v>
      </c>
      <c r="F34" s="139">
        <v>2.5</v>
      </c>
      <c r="G34" s="146">
        <v>2.5</v>
      </c>
      <c r="H34" s="147">
        <v>2.5</v>
      </c>
      <c r="I34" s="147">
        <v>2.5</v>
      </c>
    </row>
    <row r="35" spans="1:9" s="99" customFormat="1" ht="16.5" customHeight="1" x14ac:dyDescent="0.25">
      <c r="A35" s="278" t="s">
        <v>218</v>
      </c>
      <c r="B35" s="279"/>
      <c r="C35" s="146"/>
      <c r="D35" s="146"/>
      <c r="E35" s="205"/>
      <c r="F35" s="139">
        <f>F34/E34*100</f>
        <v>208.33333333333334</v>
      </c>
      <c r="G35" s="146">
        <f>SUM((G34/F34)*100)</f>
        <v>100</v>
      </c>
      <c r="H35" s="147">
        <f>SUM(H34/G34*100)</f>
        <v>100</v>
      </c>
      <c r="I35" s="147">
        <f>SUM(I34/H34*100)</f>
        <v>100</v>
      </c>
    </row>
    <row r="36" spans="1:9" s="99" customFormat="1" ht="16.5" customHeight="1" x14ac:dyDescent="0.25">
      <c r="A36" s="210" t="s">
        <v>351</v>
      </c>
      <c r="B36" s="101" t="s">
        <v>228</v>
      </c>
      <c r="C36" s="105">
        <f>C38+C39+C40</f>
        <v>4</v>
      </c>
      <c r="D36" s="105">
        <f>D38+D39+D40</f>
        <v>5</v>
      </c>
      <c r="E36" s="105">
        <v>5</v>
      </c>
      <c r="F36" s="105">
        <v>5</v>
      </c>
      <c r="G36" s="105">
        <f>G38+G39+G40</f>
        <v>5</v>
      </c>
      <c r="H36" s="105">
        <f>H38+H39+H40</f>
        <v>5</v>
      </c>
      <c r="I36" s="105">
        <f>I38+I39+I40</f>
        <v>5</v>
      </c>
    </row>
    <row r="37" spans="1:9" s="99" customFormat="1" ht="16.5" customHeight="1" x14ac:dyDescent="0.25">
      <c r="A37" s="274" t="s">
        <v>227</v>
      </c>
      <c r="B37" s="275"/>
      <c r="C37" s="275"/>
      <c r="D37" s="275"/>
      <c r="E37" s="275"/>
      <c r="F37" s="275"/>
      <c r="G37" s="275"/>
      <c r="H37" s="275"/>
      <c r="I37" s="275"/>
    </row>
    <row r="38" spans="1:9" s="99" customFormat="1" ht="16.5" customHeight="1" x14ac:dyDescent="0.25">
      <c r="A38" s="203" t="s">
        <v>352</v>
      </c>
      <c r="B38" s="95" t="s">
        <v>228</v>
      </c>
      <c r="C38" s="96">
        <v>3</v>
      </c>
      <c r="D38" s="96">
        <v>3</v>
      </c>
      <c r="E38" s="96">
        <v>3</v>
      </c>
      <c r="F38" s="96">
        <v>3</v>
      </c>
      <c r="G38" s="96">
        <v>3</v>
      </c>
      <c r="H38" s="96">
        <v>3</v>
      </c>
      <c r="I38" s="96">
        <v>3</v>
      </c>
    </row>
    <row r="39" spans="1:9" s="99" customFormat="1" ht="16.5" customHeight="1" x14ac:dyDescent="0.25">
      <c r="A39" s="203" t="s">
        <v>229</v>
      </c>
      <c r="B39" s="95" t="s">
        <v>228</v>
      </c>
      <c r="C39" s="96">
        <v>1</v>
      </c>
      <c r="D39" s="96">
        <v>1</v>
      </c>
      <c r="E39" s="96">
        <v>1</v>
      </c>
      <c r="F39" s="96">
        <v>1</v>
      </c>
      <c r="G39" s="96">
        <v>1</v>
      </c>
      <c r="H39" s="96">
        <v>1</v>
      </c>
      <c r="I39" s="96">
        <v>1</v>
      </c>
    </row>
    <row r="40" spans="1:9" s="99" customFormat="1" ht="16.5" customHeight="1" x14ac:dyDescent="0.25">
      <c r="A40" s="203" t="s">
        <v>409</v>
      </c>
      <c r="B40" s="95" t="s">
        <v>228</v>
      </c>
      <c r="C40" s="96"/>
      <c r="D40" s="96">
        <v>1</v>
      </c>
      <c r="E40" s="96">
        <v>1</v>
      </c>
      <c r="F40" s="96">
        <v>1</v>
      </c>
      <c r="G40" s="96">
        <v>1</v>
      </c>
      <c r="H40" s="96">
        <v>1</v>
      </c>
      <c r="I40" s="96">
        <v>1</v>
      </c>
    </row>
    <row r="41" spans="1:9" s="99" customFormat="1" ht="16.5" customHeight="1" x14ac:dyDescent="0.25">
      <c r="A41" s="274" t="s">
        <v>222</v>
      </c>
      <c r="B41" s="275"/>
      <c r="C41" s="275"/>
      <c r="D41" s="275"/>
      <c r="E41" s="275"/>
      <c r="F41" s="275"/>
      <c r="G41" s="275"/>
      <c r="H41" s="275"/>
      <c r="I41" s="275"/>
    </row>
    <row r="42" spans="1:9" s="99" customFormat="1" ht="16.5" customHeight="1" x14ac:dyDescent="0.25">
      <c r="A42" s="203" t="s">
        <v>216</v>
      </c>
      <c r="B42" s="101" t="s">
        <v>221</v>
      </c>
      <c r="C42" s="150">
        <f t="shared" ref="C42:I42" si="4">C45+C46</f>
        <v>29.43</v>
      </c>
      <c r="D42" s="150">
        <f t="shared" si="4"/>
        <v>29.29</v>
      </c>
      <c r="E42" s="150">
        <f>E45+E46</f>
        <v>30.55</v>
      </c>
      <c r="F42" s="150">
        <f>F45+F46</f>
        <v>28.64</v>
      </c>
      <c r="G42" s="150">
        <f t="shared" si="4"/>
        <v>31.509999999999998</v>
      </c>
      <c r="H42" s="150">
        <f t="shared" si="4"/>
        <v>34.659999999999997</v>
      </c>
      <c r="I42" s="150">
        <f t="shared" si="4"/>
        <v>37.44</v>
      </c>
    </row>
    <row r="43" spans="1:9" s="99" customFormat="1" ht="16.5" customHeight="1" x14ac:dyDescent="0.25">
      <c r="A43" s="278" t="s">
        <v>218</v>
      </c>
      <c r="B43" s="279"/>
      <c r="C43" s="146" t="e">
        <f>SUM((C42/#REF!)*100)</f>
        <v>#REF!</v>
      </c>
      <c r="D43" s="146">
        <f>SUM((D42/C42)*100)</f>
        <v>99.524294937138961</v>
      </c>
      <c r="E43" s="205">
        <f>E42/D42*100</f>
        <v>104.30180949129397</v>
      </c>
      <c r="F43" s="139">
        <f>F42/E42*100</f>
        <v>93.747954173486093</v>
      </c>
      <c r="G43" s="146">
        <f>SUM((G42/F42)*100)</f>
        <v>110.02094972067039</v>
      </c>
      <c r="H43" s="139">
        <f>H42/G42*100</f>
        <v>109.9968264043161</v>
      </c>
      <c r="I43" s="139">
        <f>I42/H42*100</f>
        <v>108.02077322562032</v>
      </c>
    </row>
    <row r="44" spans="1:9" s="99" customFormat="1" ht="16.5" customHeight="1" x14ac:dyDescent="0.25">
      <c r="A44" s="274" t="s">
        <v>227</v>
      </c>
      <c r="B44" s="274"/>
      <c r="C44" s="274"/>
      <c r="D44" s="274"/>
      <c r="E44" s="274"/>
      <c r="F44" s="274"/>
      <c r="G44" s="280"/>
      <c r="H44" s="280"/>
      <c r="I44" s="275"/>
    </row>
    <row r="45" spans="1:9" s="99" customFormat="1" ht="16.5" customHeight="1" x14ac:dyDescent="0.25">
      <c r="A45" s="203" t="s">
        <v>353</v>
      </c>
      <c r="B45" s="95" t="s">
        <v>240</v>
      </c>
      <c r="C45" s="151">
        <v>20.25</v>
      </c>
      <c r="D45" s="151">
        <v>21.04</v>
      </c>
      <c r="E45" s="151">
        <v>20.69</v>
      </c>
      <c r="F45" s="151">
        <v>20.260000000000002</v>
      </c>
      <c r="G45" s="151">
        <v>22.29</v>
      </c>
      <c r="H45" s="152">
        <v>24.52</v>
      </c>
      <c r="I45" s="152">
        <v>26.48</v>
      </c>
    </row>
    <row r="46" spans="1:9" s="99" customFormat="1" ht="16.5" customHeight="1" x14ac:dyDescent="0.25">
      <c r="A46" s="203" t="s">
        <v>354</v>
      </c>
      <c r="B46" s="95" t="s">
        <v>240</v>
      </c>
      <c r="C46" s="153">
        <v>9.18</v>
      </c>
      <c r="D46" s="153">
        <v>8.25</v>
      </c>
      <c r="E46" s="153">
        <v>9.86</v>
      </c>
      <c r="F46" s="153">
        <v>8.3800000000000008</v>
      </c>
      <c r="G46" s="153">
        <v>9.2200000000000006</v>
      </c>
      <c r="H46" s="153">
        <v>10.14</v>
      </c>
      <c r="I46" s="153">
        <v>10.96</v>
      </c>
    </row>
    <row r="47" spans="1:9" s="93" customFormat="1" ht="16.5" customHeight="1" x14ac:dyDescent="0.2">
      <c r="A47" s="272" t="s">
        <v>355</v>
      </c>
      <c r="B47" s="273"/>
      <c r="C47" s="273"/>
      <c r="D47" s="273"/>
      <c r="E47" s="273"/>
      <c r="F47" s="273"/>
      <c r="G47" s="273"/>
      <c r="H47" s="273"/>
      <c r="I47" s="273"/>
    </row>
    <row r="48" spans="1:9" s="99" customFormat="1" ht="16.5" customHeight="1" x14ac:dyDescent="0.25">
      <c r="A48" s="203" t="s">
        <v>356</v>
      </c>
      <c r="B48" s="95" t="s">
        <v>230</v>
      </c>
      <c r="C48" s="154">
        <v>3.17</v>
      </c>
      <c r="D48" s="154">
        <v>3.17</v>
      </c>
      <c r="E48" s="154">
        <v>3.17</v>
      </c>
      <c r="F48" s="154">
        <v>3.17</v>
      </c>
      <c r="G48" s="154">
        <v>3.17</v>
      </c>
      <c r="H48" s="154">
        <v>3.17</v>
      </c>
      <c r="I48" s="154">
        <v>3.17</v>
      </c>
    </row>
    <row r="49" spans="1:9" s="93" customFormat="1" ht="16.5" customHeight="1" x14ac:dyDescent="0.2">
      <c r="A49" s="272" t="s">
        <v>357</v>
      </c>
      <c r="B49" s="273"/>
      <c r="C49" s="273"/>
      <c r="D49" s="273"/>
      <c r="E49" s="273"/>
      <c r="F49" s="273"/>
      <c r="G49" s="273"/>
      <c r="H49" s="273"/>
      <c r="I49" s="273"/>
    </row>
    <row r="50" spans="1:9" s="99" customFormat="1" ht="16.5" customHeight="1" x14ac:dyDescent="0.25">
      <c r="A50" s="184" t="s">
        <v>410</v>
      </c>
      <c r="B50" s="101" t="s">
        <v>228</v>
      </c>
      <c r="C50" s="155">
        <v>86</v>
      </c>
      <c r="D50" s="155">
        <v>100</v>
      </c>
      <c r="E50" s="155">
        <f>E52+E53</f>
        <v>109</v>
      </c>
      <c r="F50" s="155">
        <f>F52+F53</f>
        <v>108</v>
      </c>
      <c r="G50" s="155">
        <f>G52+G53</f>
        <v>111</v>
      </c>
      <c r="H50" s="155">
        <f>H52+H53</f>
        <v>113</v>
      </c>
      <c r="I50" s="155">
        <f>I52+I53</f>
        <v>115</v>
      </c>
    </row>
    <row r="51" spans="1:9" s="99" customFormat="1" ht="16.5" customHeight="1" x14ac:dyDescent="0.25">
      <c r="A51" s="281" t="s">
        <v>227</v>
      </c>
      <c r="B51" s="275"/>
      <c r="C51" s="275"/>
      <c r="D51" s="275"/>
      <c r="E51" s="275"/>
      <c r="F51" s="275"/>
      <c r="G51" s="275"/>
      <c r="H51" s="275"/>
      <c r="I51" s="275"/>
    </row>
    <row r="52" spans="1:9" s="99" customFormat="1" ht="16.5" customHeight="1" x14ac:dyDescent="0.25">
      <c r="A52" s="203" t="s">
        <v>411</v>
      </c>
      <c r="B52" s="95" t="s">
        <v>412</v>
      </c>
      <c r="C52" s="96">
        <v>32</v>
      </c>
      <c r="D52" s="96">
        <v>32</v>
      </c>
      <c r="E52" s="96">
        <v>30</v>
      </c>
      <c r="F52" s="96">
        <v>32</v>
      </c>
      <c r="G52" s="96">
        <v>33</v>
      </c>
      <c r="H52" s="96">
        <v>34</v>
      </c>
      <c r="I52" s="96">
        <v>35</v>
      </c>
    </row>
    <row r="53" spans="1:9" s="99" customFormat="1" ht="16.5" customHeight="1" x14ac:dyDescent="0.25">
      <c r="A53" s="203" t="s">
        <v>413</v>
      </c>
      <c r="B53" s="95" t="s">
        <v>412</v>
      </c>
      <c r="C53" s="96">
        <v>54</v>
      </c>
      <c r="D53" s="96">
        <v>68</v>
      </c>
      <c r="E53" s="96">
        <v>79</v>
      </c>
      <c r="F53" s="96">
        <v>76</v>
      </c>
      <c r="G53" s="96">
        <v>78</v>
      </c>
      <c r="H53" s="96">
        <v>79</v>
      </c>
      <c r="I53" s="96">
        <v>80</v>
      </c>
    </row>
    <row r="54" spans="1:9" s="99" customFormat="1" ht="16.5" customHeight="1" x14ac:dyDescent="0.25">
      <c r="A54" s="203" t="s">
        <v>414</v>
      </c>
      <c r="B54" s="95" t="s">
        <v>412</v>
      </c>
      <c r="C54" s="96">
        <v>4</v>
      </c>
      <c r="D54" s="96">
        <v>4</v>
      </c>
      <c r="E54" s="96">
        <v>4</v>
      </c>
      <c r="F54" s="96">
        <v>4</v>
      </c>
      <c r="G54" s="96">
        <v>5</v>
      </c>
      <c r="H54" s="96">
        <v>5</v>
      </c>
      <c r="I54" s="96">
        <v>5</v>
      </c>
    </row>
    <row r="55" spans="1:9" s="99" customFormat="1" ht="16.5" customHeight="1" x14ac:dyDescent="0.25">
      <c r="A55" s="203" t="s">
        <v>415</v>
      </c>
      <c r="B55" s="95" t="s">
        <v>412</v>
      </c>
      <c r="C55" s="96">
        <v>82</v>
      </c>
      <c r="D55" s="96">
        <v>96</v>
      </c>
      <c r="E55" s="96">
        <v>105</v>
      </c>
      <c r="F55" s="96">
        <v>104</v>
      </c>
      <c r="G55" s="96">
        <v>106</v>
      </c>
      <c r="H55" s="96">
        <v>108</v>
      </c>
      <c r="I55" s="96">
        <v>110</v>
      </c>
    </row>
    <row r="56" spans="1:9" s="93" customFormat="1" ht="16.5" customHeight="1" x14ac:dyDescent="0.2">
      <c r="A56" s="272" t="s">
        <v>359</v>
      </c>
      <c r="B56" s="273"/>
      <c r="C56" s="273"/>
      <c r="D56" s="273"/>
      <c r="E56" s="273"/>
      <c r="F56" s="273"/>
      <c r="G56" s="273"/>
      <c r="H56" s="273"/>
      <c r="I56" s="273"/>
    </row>
    <row r="57" spans="1:9" s="99" customFormat="1" ht="16.5" customHeight="1" x14ac:dyDescent="0.25">
      <c r="A57" s="203" t="s">
        <v>360</v>
      </c>
      <c r="B57" s="95" t="s">
        <v>221</v>
      </c>
      <c r="C57" s="156">
        <v>120.78</v>
      </c>
      <c r="D57" s="156">
        <v>607.351</v>
      </c>
      <c r="E57" s="156">
        <v>400.42599999999999</v>
      </c>
      <c r="F57" s="156">
        <v>200</v>
      </c>
      <c r="G57" s="156">
        <v>200</v>
      </c>
      <c r="H57" s="156">
        <v>200</v>
      </c>
      <c r="I57" s="156">
        <v>200</v>
      </c>
    </row>
    <row r="58" spans="1:9" s="99" customFormat="1" ht="16.5" customHeight="1" x14ac:dyDescent="0.25">
      <c r="A58" s="203" t="s">
        <v>361</v>
      </c>
      <c r="B58" s="95" t="s">
        <v>221</v>
      </c>
      <c r="C58" s="156">
        <v>32.515000000000001</v>
      </c>
      <c r="D58" s="156">
        <v>44.344999999999999</v>
      </c>
      <c r="E58" s="156">
        <v>59.98</v>
      </c>
      <c r="F58" s="156">
        <v>62.078000000000003</v>
      </c>
      <c r="G58" s="156">
        <v>20.29</v>
      </c>
      <c r="H58" s="156">
        <v>15.929</v>
      </c>
      <c r="I58" s="156">
        <v>15.929</v>
      </c>
    </row>
    <row r="59" spans="1:9" s="99" customFormat="1" ht="16.5" customHeight="1" x14ac:dyDescent="0.25">
      <c r="A59" s="203" t="s">
        <v>330</v>
      </c>
      <c r="B59" s="95" t="s">
        <v>221</v>
      </c>
      <c r="C59" s="157">
        <v>121.9</v>
      </c>
      <c r="D59" s="157">
        <v>12.4</v>
      </c>
      <c r="E59" s="157">
        <v>22.2</v>
      </c>
      <c r="F59" s="157">
        <v>44.7</v>
      </c>
      <c r="G59" s="157">
        <v>98.5</v>
      </c>
      <c r="H59" s="157">
        <v>38.9</v>
      </c>
      <c r="I59" s="157">
        <v>42.6</v>
      </c>
    </row>
    <row r="60" spans="1:9" s="99" customFormat="1" ht="16.5" customHeight="1" x14ac:dyDescent="0.25">
      <c r="A60" s="274" t="s">
        <v>232</v>
      </c>
      <c r="B60" s="275"/>
      <c r="C60" s="275"/>
      <c r="D60" s="275"/>
      <c r="E60" s="275"/>
      <c r="F60" s="275"/>
      <c r="G60" s="275"/>
      <c r="H60" s="275"/>
      <c r="I60" s="275"/>
    </row>
    <row r="61" spans="1:9" s="99" customFormat="1" ht="16.5" customHeight="1" x14ac:dyDescent="0.25">
      <c r="A61" s="204" t="s">
        <v>233</v>
      </c>
      <c r="B61" s="95" t="s">
        <v>221</v>
      </c>
      <c r="C61" s="96">
        <v>73.16</v>
      </c>
      <c r="D61" s="96">
        <v>50.5</v>
      </c>
      <c r="E61" s="96">
        <v>94.43</v>
      </c>
      <c r="F61" s="96">
        <v>203.56</v>
      </c>
      <c r="G61" s="144">
        <v>150</v>
      </c>
      <c r="H61" s="158">
        <v>150</v>
      </c>
      <c r="I61" s="158">
        <v>150</v>
      </c>
    </row>
    <row r="62" spans="1:9" s="93" customFormat="1" ht="16.5" customHeight="1" x14ac:dyDescent="0.2">
      <c r="A62" s="272" t="s">
        <v>416</v>
      </c>
      <c r="B62" s="273"/>
      <c r="C62" s="273"/>
      <c r="D62" s="273"/>
      <c r="E62" s="273"/>
      <c r="F62" s="273"/>
      <c r="G62" s="273"/>
      <c r="H62" s="273"/>
      <c r="I62" s="211"/>
    </row>
    <row r="63" spans="1:9" s="99" customFormat="1" ht="16.5" customHeight="1" x14ac:dyDescent="0.25">
      <c r="A63" s="184" t="s">
        <v>362</v>
      </c>
      <c r="B63" s="95" t="s">
        <v>231</v>
      </c>
      <c r="C63" s="159">
        <v>2361</v>
      </c>
      <c r="D63" s="159">
        <v>2281</v>
      </c>
      <c r="E63" s="159">
        <v>2357</v>
      </c>
      <c r="F63" s="159">
        <v>2360</v>
      </c>
      <c r="G63" s="159">
        <v>2360</v>
      </c>
      <c r="H63" s="159">
        <v>2360</v>
      </c>
      <c r="I63" s="159">
        <v>2360</v>
      </c>
    </row>
    <row r="64" spans="1:9" s="99" customFormat="1" ht="16.5" customHeight="1" x14ac:dyDescent="0.25">
      <c r="A64" s="203" t="s">
        <v>363</v>
      </c>
      <c r="B64" s="95" t="s">
        <v>231</v>
      </c>
      <c r="C64" s="96">
        <v>251</v>
      </c>
      <c r="D64" s="96">
        <v>262</v>
      </c>
      <c r="E64" s="96">
        <v>263</v>
      </c>
      <c r="F64" s="96">
        <v>270</v>
      </c>
      <c r="G64" s="96">
        <v>270</v>
      </c>
      <c r="H64" s="96">
        <v>270</v>
      </c>
      <c r="I64" s="96">
        <v>270</v>
      </c>
    </row>
    <row r="65" spans="1:9" s="99" customFormat="1" ht="16.5" customHeight="1" x14ac:dyDescent="0.25">
      <c r="A65" s="203" t="s">
        <v>364</v>
      </c>
      <c r="B65" s="95" t="s">
        <v>231</v>
      </c>
      <c r="C65" s="96">
        <v>125</v>
      </c>
      <c r="D65" s="96">
        <v>110</v>
      </c>
      <c r="E65" s="96">
        <v>103</v>
      </c>
      <c r="F65" s="96">
        <v>108</v>
      </c>
      <c r="G65" s="96">
        <v>108</v>
      </c>
      <c r="H65" s="96">
        <v>108</v>
      </c>
      <c r="I65" s="96">
        <v>108</v>
      </c>
    </row>
    <row r="66" spans="1:9" s="99" customFormat="1" ht="16.5" customHeight="1" x14ac:dyDescent="0.25">
      <c r="A66" s="203" t="s">
        <v>365</v>
      </c>
      <c r="B66" s="95" t="s">
        <v>231</v>
      </c>
      <c r="C66" s="96">
        <v>289</v>
      </c>
      <c r="D66" s="96">
        <v>325</v>
      </c>
      <c r="E66" s="96">
        <v>404</v>
      </c>
      <c r="F66" s="96">
        <v>400</v>
      </c>
      <c r="G66" s="96">
        <v>400</v>
      </c>
      <c r="H66" s="96">
        <v>400</v>
      </c>
      <c r="I66" s="96">
        <v>400</v>
      </c>
    </row>
    <row r="67" spans="1:9" s="99" customFormat="1" ht="16.5" customHeight="1" x14ac:dyDescent="0.25">
      <c r="A67" s="203" t="s">
        <v>366</v>
      </c>
      <c r="B67" s="95" t="s">
        <v>231</v>
      </c>
      <c r="C67" s="96">
        <v>252</v>
      </c>
      <c r="D67" s="96">
        <v>227</v>
      </c>
      <c r="E67" s="96">
        <v>215</v>
      </c>
      <c r="F67" s="96">
        <v>220</v>
      </c>
      <c r="G67" s="96">
        <v>220</v>
      </c>
      <c r="H67" s="96">
        <v>220</v>
      </c>
      <c r="I67" s="96">
        <v>220</v>
      </c>
    </row>
    <row r="68" spans="1:9" s="99" customFormat="1" ht="16.5" customHeight="1" x14ac:dyDescent="0.25">
      <c r="A68" s="203" t="s">
        <v>93</v>
      </c>
      <c r="B68" s="95" t="s">
        <v>231</v>
      </c>
      <c r="C68" s="96">
        <v>394</v>
      </c>
      <c r="D68" s="96">
        <v>389</v>
      </c>
      <c r="E68" s="96">
        <v>390</v>
      </c>
      <c r="F68" s="96">
        <v>400</v>
      </c>
      <c r="G68" s="96">
        <v>400</v>
      </c>
      <c r="H68" s="96">
        <v>400</v>
      </c>
      <c r="I68" s="96">
        <v>400</v>
      </c>
    </row>
    <row r="69" spans="1:9" s="99" customFormat="1" ht="16.5" customHeight="1" x14ac:dyDescent="0.25">
      <c r="A69" s="203" t="s">
        <v>466</v>
      </c>
      <c r="B69" s="95" t="s">
        <v>231</v>
      </c>
      <c r="C69" s="96">
        <v>212</v>
      </c>
      <c r="D69" s="96">
        <v>209</v>
      </c>
      <c r="E69" s="96">
        <v>214</v>
      </c>
      <c r="F69" s="96">
        <v>215</v>
      </c>
      <c r="G69" s="96">
        <v>215</v>
      </c>
      <c r="H69" s="96">
        <v>215</v>
      </c>
      <c r="I69" s="96">
        <v>215</v>
      </c>
    </row>
    <row r="70" spans="1:9" s="99" customFormat="1" ht="16.5" customHeight="1" x14ac:dyDescent="0.25">
      <c r="A70" s="203" t="s">
        <v>367</v>
      </c>
      <c r="B70" s="95" t="s">
        <v>231</v>
      </c>
      <c r="C70" s="96">
        <v>50</v>
      </c>
      <c r="D70" s="96">
        <v>50</v>
      </c>
      <c r="E70" s="96">
        <v>49</v>
      </c>
      <c r="F70" s="96">
        <v>50</v>
      </c>
      <c r="G70" s="96">
        <v>50</v>
      </c>
      <c r="H70" s="96">
        <v>50</v>
      </c>
      <c r="I70" s="96">
        <v>50</v>
      </c>
    </row>
    <row r="71" spans="1:9" s="99" customFormat="1" ht="16.5" customHeight="1" x14ac:dyDescent="0.25">
      <c r="A71" s="212" t="s">
        <v>417</v>
      </c>
      <c r="B71" s="95" t="s">
        <v>418</v>
      </c>
      <c r="C71" s="160">
        <v>87480</v>
      </c>
      <c r="D71" s="160">
        <v>87820.2</v>
      </c>
      <c r="E71" s="160">
        <v>103948.5</v>
      </c>
      <c r="F71" s="160">
        <v>110000</v>
      </c>
      <c r="G71" s="160">
        <v>115000</v>
      </c>
      <c r="H71" s="160">
        <v>120000</v>
      </c>
      <c r="I71" s="160">
        <v>125000</v>
      </c>
    </row>
    <row r="72" spans="1:9" s="99" customFormat="1" ht="16.5" customHeight="1" x14ac:dyDescent="0.25">
      <c r="A72" s="203" t="s">
        <v>363</v>
      </c>
      <c r="B72" s="95" t="s">
        <v>418</v>
      </c>
      <c r="C72" s="144">
        <v>57235.3</v>
      </c>
      <c r="D72" s="144">
        <v>69861.600000000006</v>
      </c>
      <c r="E72" s="144">
        <v>65937.100000000006</v>
      </c>
      <c r="F72" s="144">
        <v>70000</v>
      </c>
      <c r="G72" s="144">
        <v>75000</v>
      </c>
      <c r="H72" s="144">
        <v>80000</v>
      </c>
      <c r="I72" s="144">
        <v>80000</v>
      </c>
    </row>
    <row r="73" spans="1:9" s="99" customFormat="1" ht="16.5" customHeight="1" x14ac:dyDescent="0.25">
      <c r="A73" s="203" t="s">
        <v>364</v>
      </c>
      <c r="B73" s="95" t="s">
        <v>418</v>
      </c>
      <c r="C73" s="144">
        <v>100058.3</v>
      </c>
      <c r="D73" s="144">
        <v>77660.899999999994</v>
      </c>
      <c r="E73" s="144">
        <v>105176.2</v>
      </c>
      <c r="F73" s="144">
        <v>108000</v>
      </c>
      <c r="G73" s="144">
        <v>110000</v>
      </c>
      <c r="H73" s="144">
        <v>115000</v>
      </c>
      <c r="I73" s="144">
        <v>120000</v>
      </c>
    </row>
    <row r="74" spans="1:9" s="99" customFormat="1" ht="16.5" customHeight="1" x14ac:dyDescent="0.25">
      <c r="A74" s="203" t="s">
        <v>365</v>
      </c>
      <c r="B74" s="95" t="s">
        <v>418</v>
      </c>
      <c r="C74" s="144">
        <v>107290.5</v>
      </c>
      <c r="D74" s="144">
        <v>96106</v>
      </c>
      <c r="E74" s="144">
        <v>111651.6</v>
      </c>
      <c r="F74" s="144">
        <v>110000</v>
      </c>
      <c r="G74" s="144">
        <v>115000</v>
      </c>
      <c r="H74" s="144">
        <v>120000</v>
      </c>
      <c r="I74" s="144">
        <v>125000</v>
      </c>
    </row>
    <row r="75" spans="1:9" s="99" customFormat="1" ht="16.5" customHeight="1" x14ac:dyDescent="0.25">
      <c r="A75" s="203" t="s">
        <v>93</v>
      </c>
      <c r="B75" s="95" t="s">
        <v>418</v>
      </c>
      <c r="C75" s="161">
        <v>81462</v>
      </c>
      <c r="D75" s="161">
        <v>88087.3</v>
      </c>
      <c r="E75" s="161">
        <v>96321.600000000006</v>
      </c>
      <c r="F75" s="161">
        <v>100000</v>
      </c>
      <c r="G75" s="161">
        <v>105000</v>
      </c>
      <c r="H75" s="161">
        <v>110000</v>
      </c>
      <c r="I75" s="161">
        <v>115000</v>
      </c>
    </row>
    <row r="76" spans="1:9" s="99" customFormat="1" ht="16.5" customHeight="1" x14ac:dyDescent="0.25">
      <c r="A76" s="203" t="s">
        <v>466</v>
      </c>
      <c r="B76" s="95" t="s">
        <v>418</v>
      </c>
      <c r="C76" s="161">
        <v>89664.5</v>
      </c>
      <c r="D76" s="161">
        <v>94653.2</v>
      </c>
      <c r="E76" s="161">
        <v>106765</v>
      </c>
      <c r="F76" s="161">
        <v>108000</v>
      </c>
      <c r="G76" s="161">
        <v>110000</v>
      </c>
      <c r="H76" s="161">
        <v>115000</v>
      </c>
      <c r="I76" s="161">
        <v>120000</v>
      </c>
    </row>
    <row r="77" spans="1:9" s="99" customFormat="1" ht="16.5" customHeight="1" x14ac:dyDescent="0.25">
      <c r="A77" s="203" t="s">
        <v>367</v>
      </c>
      <c r="B77" s="95" t="s">
        <v>418</v>
      </c>
      <c r="C77" s="161">
        <v>98365.5</v>
      </c>
      <c r="D77" s="161">
        <v>100078.9</v>
      </c>
      <c r="E77" s="161">
        <v>109131.2</v>
      </c>
      <c r="F77" s="161">
        <v>110000</v>
      </c>
      <c r="G77" s="161">
        <v>115000</v>
      </c>
      <c r="H77" s="161">
        <v>120000</v>
      </c>
      <c r="I77" s="161">
        <v>125000</v>
      </c>
    </row>
    <row r="78" spans="1:9" s="99" customFormat="1" ht="16.5" customHeight="1" x14ac:dyDescent="0.25">
      <c r="A78" s="203" t="s">
        <v>358</v>
      </c>
      <c r="B78" s="95" t="s">
        <v>418</v>
      </c>
      <c r="C78" s="144">
        <v>80720.800000000003</v>
      </c>
      <c r="D78" s="144">
        <v>89418.2</v>
      </c>
      <c r="E78" s="144">
        <v>96419.5</v>
      </c>
      <c r="F78" s="144">
        <v>100000</v>
      </c>
      <c r="G78" s="144">
        <v>105000</v>
      </c>
      <c r="H78" s="144">
        <v>110000</v>
      </c>
      <c r="I78" s="144">
        <v>115000</v>
      </c>
    </row>
    <row r="79" spans="1:9" s="99" customFormat="1" ht="16.5" customHeight="1" x14ac:dyDescent="0.25">
      <c r="A79" s="203" t="s">
        <v>234</v>
      </c>
      <c r="B79" s="95" t="s">
        <v>418</v>
      </c>
      <c r="C79" s="144">
        <v>108000.6</v>
      </c>
      <c r="D79" s="144">
        <v>87568.6</v>
      </c>
      <c r="E79" s="144">
        <v>151470.1</v>
      </c>
      <c r="F79" s="144">
        <v>150000</v>
      </c>
      <c r="G79" s="144">
        <v>155000</v>
      </c>
      <c r="H79" s="144">
        <v>155000</v>
      </c>
      <c r="I79" s="144">
        <v>155000</v>
      </c>
    </row>
    <row r="80" spans="1:9" s="93" customFormat="1" ht="16.5" customHeight="1" x14ac:dyDescent="0.2">
      <c r="A80" s="272" t="s">
        <v>368</v>
      </c>
      <c r="B80" s="276"/>
      <c r="C80" s="277"/>
      <c r="D80" s="277"/>
      <c r="E80" s="277"/>
      <c r="F80" s="277"/>
      <c r="G80" s="277"/>
      <c r="H80" s="277"/>
      <c r="I80" s="277"/>
    </row>
    <row r="81" spans="1:9" s="99" customFormat="1" ht="16.5" customHeight="1" x14ac:dyDescent="0.25">
      <c r="A81" s="210" t="s">
        <v>235</v>
      </c>
      <c r="B81" s="95" t="s">
        <v>221</v>
      </c>
      <c r="C81" s="162">
        <f t="shared" ref="C81:I81" si="5">SUM(C83+C84+C86)</f>
        <v>3125.1205999999997</v>
      </c>
      <c r="D81" s="162">
        <f t="shared" si="5"/>
        <v>3081.2190000000001</v>
      </c>
      <c r="E81" s="162">
        <f t="shared" si="5"/>
        <v>3672.9319999999998</v>
      </c>
      <c r="F81" s="162">
        <f t="shared" si="5"/>
        <v>3843.866</v>
      </c>
      <c r="G81" s="162">
        <f t="shared" si="5"/>
        <v>3909.0650000000001</v>
      </c>
      <c r="H81" s="162">
        <f t="shared" si="5"/>
        <v>3978.511</v>
      </c>
      <c r="I81" s="162">
        <f t="shared" si="5"/>
        <v>4048.3069999999998</v>
      </c>
    </row>
    <row r="82" spans="1:9" s="99" customFormat="1" ht="16.5" customHeight="1" x14ac:dyDescent="0.25">
      <c r="A82" s="274" t="s">
        <v>236</v>
      </c>
      <c r="B82" s="275"/>
      <c r="C82" s="275"/>
      <c r="D82" s="275"/>
      <c r="E82" s="275"/>
      <c r="F82" s="275"/>
      <c r="G82" s="275"/>
      <c r="H82" s="275"/>
      <c r="I82" s="275"/>
    </row>
    <row r="83" spans="1:9" s="99" customFormat="1" ht="16.5" customHeight="1" x14ac:dyDescent="0.25">
      <c r="A83" s="203" t="s">
        <v>369</v>
      </c>
      <c r="B83" s="95" t="s">
        <v>221</v>
      </c>
      <c r="C83" s="163">
        <v>2478.4825999999998</v>
      </c>
      <c r="D83" s="163">
        <v>2403.7080000000001</v>
      </c>
      <c r="E83" s="163">
        <v>2940.2049999999999</v>
      </c>
      <c r="F83" s="163">
        <v>3100</v>
      </c>
      <c r="G83" s="163">
        <v>3150</v>
      </c>
      <c r="H83" s="163">
        <v>3200</v>
      </c>
      <c r="I83" s="163">
        <v>3250</v>
      </c>
    </row>
    <row r="84" spans="1:9" s="99" customFormat="1" ht="16.5" customHeight="1" x14ac:dyDescent="0.25">
      <c r="A84" s="203" t="s">
        <v>370</v>
      </c>
      <c r="B84" s="95" t="s">
        <v>221</v>
      </c>
      <c r="C84" s="97">
        <f>C85+83.826</f>
        <v>625.63800000000003</v>
      </c>
      <c r="D84" s="97">
        <f>D85+93.728</f>
        <v>654.51099999999997</v>
      </c>
      <c r="E84" s="97">
        <f>E85+118.882</f>
        <v>707.72700000000009</v>
      </c>
      <c r="F84" s="97">
        <f>F85+124.086</f>
        <v>713.86599999999999</v>
      </c>
      <c r="G84" s="97">
        <f>G85+127.265</f>
        <v>724.06499999999994</v>
      </c>
      <c r="H84" s="97">
        <f>H85+129.811</f>
        <v>738.51100000000008</v>
      </c>
      <c r="I84" s="97">
        <f>I85+132.407</f>
        <v>753.30700000000002</v>
      </c>
    </row>
    <row r="85" spans="1:9" s="99" customFormat="1" ht="16.5" customHeight="1" x14ac:dyDescent="0.25">
      <c r="A85" s="203" t="s">
        <v>371</v>
      </c>
      <c r="B85" s="95" t="s">
        <v>221</v>
      </c>
      <c r="C85" s="97">
        <v>541.81200000000001</v>
      </c>
      <c r="D85" s="97">
        <v>560.78300000000002</v>
      </c>
      <c r="E85" s="97">
        <v>588.84500000000003</v>
      </c>
      <c r="F85" s="97">
        <v>589.78</v>
      </c>
      <c r="G85" s="97">
        <v>596.79999999999995</v>
      </c>
      <c r="H85" s="97">
        <v>608.70000000000005</v>
      </c>
      <c r="I85" s="97">
        <v>620.9</v>
      </c>
    </row>
    <row r="86" spans="1:9" s="99" customFormat="1" ht="16.5" customHeight="1" x14ac:dyDescent="0.25">
      <c r="A86" s="203" t="s">
        <v>372</v>
      </c>
      <c r="B86" s="95" t="s">
        <v>221</v>
      </c>
      <c r="C86" s="164">
        <v>21</v>
      </c>
      <c r="D86" s="164">
        <v>23</v>
      </c>
      <c r="E86" s="164">
        <v>25</v>
      </c>
      <c r="F86" s="164">
        <v>30</v>
      </c>
      <c r="G86" s="164">
        <v>35</v>
      </c>
      <c r="H86" s="164">
        <v>40</v>
      </c>
      <c r="I86" s="164">
        <v>45</v>
      </c>
    </row>
    <row r="87" spans="1:9" s="99" customFormat="1" ht="16.5" customHeight="1" x14ac:dyDescent="0.25">
      <c r="A87" s="203" t="s">
        <v>237</v>
      </c>
      <c r="B87" s="95" t="s">
        <v>238</v>
      </c>
      <c r="C87" s="165">
        <v>21563</v>
      </c>
      <c r="D87" s="165">
        <v>22213</v>
      </c>
      <c r="E87" s="165">
        <v>23417</v>
      </c>
      <c r="F87" s="165">
        <v>24164</v>
      </c>
      <c r="G87" s="165">
        <v>27246</v>
      </c>
      <c r="H87" s="165">
        <v>32828</v>
      </c>
      <c r="I87" s="165">
        <v>36744</v>
      </c>
    </row>
    <row r="88" spans="1:9" s="99" customFormat="1" ht="16.5" customHeight="1" x14ac:dyDescent="0.25">
      <c r="A88" s="203" t="s">
        <v>239</v>
      </c>
      <c r="B88" s="95" t="s">
        <v>219</v>
      </c>
      <c r="C88" s="166">
        <v>8.4000000000000005E-2</v>
      </c>
      <c r="D88" s="166">
        <v>8.3000000000000004E-2</v>
      </c>
      <c r="E88" s="166">
        <v>8.3000000000000004E-2</v>
      </c>
      <c r="F88" s="166">
        <v>8.2000000000000003E-2</v>
      </c>
      <c r="G88" s="166">
        <v>8.8999999999999996E-2</v>
      </c>
      <c r="H88" s="166">
        <v>8.8999999999999996E-2</v>
      </c>
      <c r="I88" s="166">
        <v>8.5999999999999993E-2</v>
      </c>
    </row>
    <row r="89" spans="1:9" s="93" customFormat="1" ht="16.5" customHeight="1" x14ac:dyDescent="0.2">
      <c r="A89" s="272" t="s">
        <v>373</v>
      </c>
      <c r="B89" s="272"/>
      <c r="C89" s="273"/>
      <c r="D89" s="273"/>
      <c r="E89" s="273"/>
      <c r="F89" s="273"/>
      <c r="G89" s="273"/>
      <c r="H89" s="273"/>
      <c r="I89" s="273"/>
    </row>
    <row r="90" spans="1:9" s="99" customFormat="1" ht="16.5" customHeight="1" x14ac:dyDescent="0.25">
      <c r="A90" s="203" t="s">
        <v>241</v>
      </c>
      <c r="B90" s="95" t="s">
        <v>242</v>
      </c>
      <c r="C90" s="163">
        <v>1226</v>
      </c>
      <c r="D90" s="163">
        <v>0</v>
      </c>
      <c r="E90" s="163">
        <v>0</v>
      </c>
      <c r="F90" s="163">
        <v>0</v>
      </c>
      <c r="G90" s="163">
        <v>0</v>
      </c>
      <c r="H90" s="163">
        <v>0</v>
      </c>
      <c r="I90" s="163">
        <v>0</v>
      </c>
    </row>
    <row r="91" spans="1:9" s="99" customFormat="1" ht="16.5" customHeight="1" x14ac:dyDescent="0.25">
      <c r="A91" s="203" t="s">
        <v>243</v>
      </c>
      <c r="B91" s="95" t="s">
        <v>244</v>
      </c>
      <c r="C91" s="148">
        <f>(120200+C90)/C7/1000</f>
        <v>24.102024612941641</v>
      </c>
      <c r="D91" s="148">
        <f>(122916+D90)/D7/1000</f>
        <v>24.344622697563871</v>
      </c>
      <c r="E91" s="148">
        <f>(119962+E90)/E7/1000</f>
        <v>23.726661392405063</v>
      </c>
      <c r="F91" s="148">
        <f>(119962+F90)/F7/1000</f>
        <v>23.521960784313727</v>
      </c>
      <c r="G91" s="148">
        <f>(119962+G90)/G7/1000</f>
        <v>23.293592233009704</v>
      </c>
      <c r="H91" s="148">
        <f>(119962+H90)/H7/1000</f>
        <v>23.069615384615382</v>
      </c>
      <c r="I91" s="148">
        <f>(119962+I90)/I7/1000</f>
        <v>22.849904761904764</v>
      </c>
    </row>
    <row r="92" spans="1:9" s="99" customFormat="1" ht="16.5" customHeight="1" x14ac:dyDescent="0.25">
      <c r="A92" s="203" t="s">
        <v>245</v>
      </c>
      <c r="B92" s="95" t="s">
        <v>221</v>
      </c>
      <c r="C92" s="149">
        <v>531.9</v>
      </c>
      <c r="D92" s="149">
        <v>576.4</v>
      </c>
      <c r="E92" s="149">
        <v>644.70000000000005</v>
      </c>
      <c r="F92" s="149">
        <v>682.27</v>
      </c>
      <c r="G92" s="149">
        <v>682.27</v>
      </c>
      <c r="H92" s="149">
        <v>682.27</v>
      </c>
      <c r="I92" s="149">
        <v>682.27</v>
      </c>
    </row>
    <row r="93" spans="1:9" s="99" customFormat="1" ht="16.5" customHeight="1" x14ac:dyDescent="0.25">
      <c r="A93" s="203" t="s">
        <v>246</v>
      </c>
      <c r="B93" s="95" t="s">
        <v>219</v>
      </c>
      <c r="C93" s="166">
        <v>0.96699999999999997</v>
      </c>
      <c r="D93" s="166">
        <v>0.97299999999999998</v>
      </c>
      <c r="E93" s="166">
        <v>0.97099999999999997</v>
      </c>
      <c r="F93" s="166">
        <v>0.97</v>
      </c>
      <c r="G93" s="166">
        <v>0.97</v>
      </c>
      <c r="H93" s="166">
        <v>0.97</v>
      </c>
      <c r="I93" s="166">
        <v>0.97</v>
      </c>
    </row>
    <row r="94" spans="1:9" s="99" customFormat="1" ht="16.5" customHeight="1" x14ac:dyDescent="0.25">
      <c r="A94" s="203" t="s">
        <v>247</v>
      </c>
      <c r="B94" s="95" t="s">
        <v>231</v>
      </c>
      <c r="C94" s="163">
        <f>195+832</f>
        <v>1027</v>
      </c>
      <c r="D94" s="163">
        <f>205+830</f>
        <v>1035</v>
      </c>
      <c r="E94" s="163">
        <f>222+819</f>
        <v>1041</v>
      </c>
      <c r="F94" s="163">
        <f>208+840</f>
        <v>1048</v>
      </c>
      <c r="G94" s="163">
        <f>212+860</f>
        <v>1072</v>
      </c>
      <c r="H94" s="163">
        <f>212+860</f>
        <v>1072</v>
      </c>
      <c r="I94" s="163">
        <f>212+860</f>
        <v>1072</v>
      </c>
    </row>
    <row r="95" spans="1:9" s="99" customFormat="1" ht="16.5" customHeight="1" x14ac:dyDescent="0.25">
      <c r="A95" s="203" t="s">
        <v>248</v>
      </c>
      <c r="B95" s="95" t="s">
        <v>231</v>
      </c>
      <c r="C95" s="167" t="s">
        <v>419</v>
      </c>
      <c r="D95" s="167" t="s">
        <v>467</v>
      </c>
      <c r="E95" s="167" t="s">
        <v>562</v>
      </c>
      <c r="F95" s="167" t="s">
        <v>563</v>
      </c>
      <c r="G95" s="167" t="s">
        <v>564</v>
      </c>
      <c r="H95" s="167" t="s">
        <v>564</v>
      </c>
      <c r="I95" s="167" t="s">
        <v>564</v>
      </c>
    </row>
    <row r="96" spans="1:9" s="99" customFormat="1" ht="16.5" customHeight="1" x14ac:dyDescent="0.25">
      <c r="A96" s="274" t="s">
        <v>249</v>
      </c>
      <c r="B96" s="274"/>
      <c r="C96" s="274"/>
      <c r="D96" s="274"/>
      <c r="E96" s="274"/>
      <c r="F96" s="274"/>
      <c r="G96" s="274"/>
      <c r="H96" s="274"/>
      <c r="I96" s="274"/>
    </row>
    <row r="97" spans="1:9" s="99" customFormat="1" ht="16.5" customHeight="1" x14ac:dyDescent="0.25">
      <c r="A97" s="203" t="s">
        <v>374</v>
      </c>
      <c r="B97" s="95" t="s">
        <v>250</v>
      </c>
      <c r="C97" s="168">
        <f>52/C7</f>
        <v>10.321556173084558</v>
      </c>
      <c r="D97" s="168">
        <f>54/D7</f>
        <v>10.695187165775399</v>
      </c>
      <c r="E97" s="168">
        <f>57/E7</f>
        <v>11.273734177215189</v>
      </c>
      <c r="F97" s="168">
        <f>55/F7</f>
        <v>10.784313725490197</v>
      </c>
      <c r="G97" s="168">
        <f>55/G7</f>
        <v>10.679611650485436</v>
      </c>
      <c r="H97" s="168">
        <f>55/H7</f>
        <v>10.576923076923077</v>
      </c>
      <c r="I97" s="168">
        <f>55/I7</f>
        <v>10.476190476190476</v>
      </c>
    </row>
    <row r="98" spans="1:9" s="99" customFormat="1" ht="16.5" customHeight="1" x14ac:dyDescent="0.25">
      <c r="A98" s="204" t="s">
        <v>375</v>
      </c>
      <c r="B98" s="95" t="s">
        <v>251</v>
      </c>
      <c r="C98" s="169">
        <f>222/3.785</f>
        <v>58.652575957727869</v>
      </c>
      <c r="D98" s="169">
        <f>260/4.133</f>
        <v>62.908299056375512</v>
      </c>
      <c r="E98" s="169">
        <f>193/4.139</f>
        <v>46.629620681323992</v>
      </c>
      <c r="F98" s="169">
        <f>211/4.139</f>
        <v>50.978497221551095</v>
      </c>
      <c r="G98" s="169">
        <f>211/4.139</f>
        <v>50.978497221551095</v>
      </c>
      <c r="H98" s="169">
        <f>211/4.139</f>
        <v>50.978497221551095</v>
      </c>
      <c r="I98" s="169">
        <f>211/4.139</f>
        <v>50.978497221551095</v>
      </c>
    </row>
    <row r="99" spans="1:9" s="99" customFormat="1" ht="16.5" customHeight="1" x14ac:dyDescent="0.25">
      <c r="A99" s="204" t="s">
        <v>376</v>
      </c>
      <c r="B99" s="95" t="s">
        <v>251</v>
      </c>
      <c r="C99" s="170">
        <f>28.2/0.809</f>
        <v>34.857849196538936</v>
      </c>
      <c r="D99" s="170">
        <f>3/0.799</f>
        <v>3.7546933667083855</v>
      </c>
      <c r="E99" s="170">
        <f>4/0.793</f>
        <v>5.0441361916771754</v>
      </c>
      <c r="F99" s="170">
        <f>4/0.793</f>
        <v>5.0441361916771754</v>
      </c>
      <c r="G99" s="170">
        <f>4/0.793</f>
        <v>5.0441361916771754</v>
      </c>
      <c r="H99" s="170">
        <f>4/0.793</f>
        <v>5.0441361916771754</v>
      </c>
      <c r="I99" s="170">
        <f>4/0.793</f>
        <v>5.0441361916771754</v>
      </c>
    </row>
    <row r="100" spans="1:9" s="99" customFormat="1" ht="16.5" customHeight="1" x14ac:dyDescent="0.25">
      <c r="A100" s="204" t="s">
        <v>377</v>
      </c>
      <c r="B100" s="95" t="s">
        <v>252</v>
      </c>
      <c r="C100" s="164">
        <f>29/C7</f>
        <v>5.7562524811433109</v>
      </c>
      <c r="D100" s="164">
        <v>3</v>
      </c>
      <c r="E100" s="164">
        <f>26/E7</f>
        <v>5.1424050632911396</v>
      </c>
      <c r="F100" s="164">
        <f>29/F7</f>
        <v>5.6862745098039218</v>
      </c>
      <c r="G100" s="164">
        <f>29/G7</f>
        <v>5.6310679611650478</v>
      </c>
      <c r="H100" s="164">
        <f>29/H7</f>
        <v>5.5769230769230766</v>
      </c>
      <c r="I100" s="164">
        <f>29/I7</f>
        <v>5.5238095238095237</v>
      </c>
    </row>
    <row r="101" spans="1:9" s="99" customFormat="1" ht="16.5" customHeight="1" x14ac:dyDescent="0.25">
      <c r="A101" s="204" t="s">
        <v>378</v>
      </c>
      <c r="B101" s="95" t="s">
        <v>252</v>
      </c>
      <c r="C101" s="164">
        <f>80/C7</f>
        <v>15.879317189360856</v>
      </c>
      <c r="D101" s="164">
        <f>80/D7</f>
        <v>15.844721727074667</v>
      </c>
      <c r="E101" s="164">
        <f>81/E7</f>
        <v>16.020569620253163</v>
      </c>
      <c r="F101" s="164">
        <f>78/F7</f>
        <v>15.294117647058824</v>
      </c>
      <c r="G101" s="164">
        <f>80/G7</f>
        <v>15.53398058252427</v>
      </c>
      <c r="H101" s="164">
        <f>80/H7</f>
        <v>15.384615384615383</v>
      </c>
      <c r="I101" s="164">
        <f>80/I7</f>
        <v>15.238095238095237</v>
      </c>
    </row>
    <row r="102" spans="1:9" s="99" customFormat="1" ht="16.5" customHeight="1" x14ac:dyDescent="0.25">
      <c r="A102" s="204" t="s">
        <v>379</v>
      </c>
      <c r="B102" s="95" t="s">
        <v>253</v>
      </c>
      <c r="C102" s="170">
        <f t="shared" ref="C102:I102" si="6">7/C7</f>
        <v>1.3894402540690749</v>
      </c>
      <c r="D102" s="170">
        <f t="shared" si="6"/>
        <v>1.3864131511190334</v>
      </c>
      <c r="E102" s="170">
        <f t="shared" si="6"/>
        <v>1.384493670886076</v>
      </c>
      <c r="F102" s="170">
        <f t="shared" si="6"/>
        <v>1.3725490196078431</v>
      </c>
      <c r="G102" s="170">
        <f t="shared" si="6"/>
        <v>1.3592233009708736</v>
      </c>
      <c r="H102" s="170">
        <f t="shared" si="6"/>
        <v>1.346153846153846</v>
      </c>
      <c r="I102" s="170">
        <f t="shared" si="6"/>
        <v>1.3333333333333333</v>
      </c>
    </row>
    <row r="103" spans="1:9" s="99" customFormat="1" ht="16.5" customHeight="1" x14ac:dyDescent="0.25">
      <c r="A103" s="204" t="s">
        <v>380</v>
      </c>
      <c r="B103" s="95" t="s">
        <v>253</v>
      </c>
      <c r="C103" s="170">
        <f t="shared" ref="C103:I103" si="7">7/C7</f>
        <v>1.3894402540690749</v>
      </c>
      <c r="D103" s="170">
        <f t="shared" si="7"/>
        <v>1.3864131511190334</v>
      </c>
      <c r="E103" s="170">
        <f t="shared" si="7"/>
        <v>1.384493670886076</v>
      </c>
      <c r="F103" s="170">
        <f t="shared" si="7"/>
        <v>1.3725490196078431</v>
      </c>
      <c r="G103" s="170">
        <f t="shared" si="7"/>
        <v>1.3592233009708736</v>
      </c>
      <c r="H103" s="170">
        <f t="shared" si="7"/>
        <v>1.346153846153846</v>
      </c>
      <c r="I103" s="170">
        <f t="shared" si="7"/>
        <v>1.3333333333333333</v>
      </c>
    </row>
    <row r="104" spans="1:9" s="99" customFormat="1" ht="16.5" customHeight="1" x14ac:dyDescent="0.25">
      <c r="A104" s="203" t="s">
        <v>254</v>
      </c>
      <c r="B104" s="95" t="s">
        <v>255</v>
      </c>
      <c r="C104" s="171" t="s">
        <v>256</v>
      </c>
      <c r="D104" s="171" t="s">
        <v>256</v>
      </c>
      <c r="E104" s="171" t="s">
        <v>256</v>
      </c>
      <c r="F104" s="171" t="s">
        <v>256</v>
      </c>
      <c r="G104" s="171" t="s">
        <v>256</v>
      </c>
      <c r="H104" s="171" t="s">
        <v>256</v>
      </c>
      <c r="I104" s="171" t="s">
        <v>256</v>
      </c>
    </row>
    <row r="105" spans="1:9" s="93" customFormat="1" ht="16.5" customHeight="1" x14ac:dyDescent="0.2">
      <c r="A105" s="272" t="s">
        <v>381</v>
      </c>
      <c r="B105" s="273"/>
      <c r="C105" s="273"/>
      <c r="D105" s="273"/>
      <c r="E105" s="273"/>
      <c r="F105" s="273"/>
      <c r="G105" s="273"/>
      <c r="H105" s="273"/>
      <c r="I105" s="273"/>
    </row>
    <row r="106" spans="1:9" s="99" customFormat="1" ht="16.5" customHeight="1" x14ac:dyDescent="0.25">
      <c r="A106" s="213" t="s">
        <v>258</v>
      </c>
      <c r="B106" s="95" t="s">
        <v>259</v>
      </c>
      <c r="C106" s="172">
        <f t="shared" ref="C106:I106" si="8">SUM(C108+C109)</f>
        <v>74</v>
      </c>
      <c r="D106" s="172">
        <f t="shared" si="8"/>
        <v>79.800000000000011</v>
      </c>
      <c r="E106" s="172">
        <f t="shared" si="8"/>
        <v>78.7</v>
      </c>
      <c r="F106" s="172">
        <f t="shared" si="8"/>
        <v>77.88000000000001</v>
      </c>
      <c r="G106" s="172">
        <f t="shared" si="8"/>
        <v>77</v>
      </c>
      <c r="H106" s="172">
        <f t="shared" si="8"/>
        <v>77.78</v>
      </c>
      <c r="I106" s="172">
        <f t="shared" si="8"/>
        <v>78.45</v>
      </c>
    </row>
    <row r="107" spans="1:9" s="99" customFormat="1" ht="16.5" customHeight="1" x14ac:dyDescent="0.25">
      <c r="A107" s="274" t="s">
        <v>382</v>
      </c>
      <c r="B107" s="275"/>
      <c r="C107" s="275"/>
      <c r="D107" s="275"/>
      <c r="E107" s="275"/>
      <c r="F107" s="275"/>
      <c r="G107" s="275"/>
      <c r="H107" s="275"/>
      <c r="I107" s="275"/>
    </row>
    <row r="108" spans="1:9" s="99" customFormat="1" ht="16.5" customHeight="1" x14ac:dyDescent="0.25">
      <c r="A108" s="203" t="s">
        <v>260</v>
      </c>
      <c r="B108" s="95" t="s">
        <v>259</v>
      </c>
      <c r="C108" s="173">
        <v>64.3</v>
      </c>
      <c r="D108" s="173">
        <v>69.900000000000006</v>
      </c>
      <c r="E108" s="173">
        <v>69.2</v>
      </c>
      <c r="F108" s="173">
        <v>69.98</v>
      </c>
      <c r="G108" s="173">
        <v>68.7</v>
      </c>
      <c r="H108" s="173">
        <v>69.400000000000006</v>
      </c>
      <c r="I108" s="173">
        <v>69.98</v>
      </c>
    </row>
    <row r="109" spans="1:9" s="99" customFormat="1" ht="16.5" customHeight="1" x14ac:dyDescent="0.25">
      <c r="A109" s="203" t="s">
        <v>261</v>
      </c>
      <c r="B109" s="95" t="s">
        <v>259</v>
      </c>
      <c r="C109" s="144">
        <v>9.6999999999999993</v>
      </c>
      <c r="D109" s="144">
        <v>9.9</v>
      </c>
      <c r="E109" s="161">
        <v>9.5</v>
      </c>
      <c r="F109" s="161">
        <v>7.9</v>
      </c>
      <c r="G109" s="161">
        <v>8.3000000000000007</v>
      </c>
      <c r="H109" s="174">
        <v>8.3800000000000008</v>
      </c>
      <c r="I109" s="174">
        <v>8.4700000000000006</v>
      </c>
    </row>
    <row r="110" spans="1:9" s="99" customFormat="1" ht="16.5" customHeight="1" x14ac:dyDescent="0.25">
      <c r="A110" s="214" t="s">
        <v>262</v>
      </c>
      <c r="B110" s="107" t="s">
        <v>263</v>
      </c>
      <c r="C110" s="174">
        <v>121.1</v>
      </c>
      <c r="D110" s="174">
        <v>123.2</v>
      </c>
      <c r="E110" s="174">
        <v>123.8</v>
      </c>
      <c r="F110" s="174">
        <v>131.9</v>
      </c>
      <c r="G110" s="174">
        <v>122.6</v>
      </c>
      <c r="H110" s="174">
        <v>123.9</v>
      </c>
      <c r="I110" s="174">
        <v>125.1</v>
      </c>
    </row>
    <row r="111" spans="1:9" s="99" customFormat="1" ht="16.5" customHeight="1" x14ac:dyDescent="0.25">
      <c r="A111" s="214" t="s">
        <v>264</v>
      </c>
      <c r="B111" s="107" t="s">
        <v>263</v>
      </c>
      <c r="C111" s="174">
        <v>109.9</v>
      </c>
      <c r="D111" s="174">
        <v>111.1</v>
      </c>
      <c r="E111" s="174">
        <v>112.8</v>
      </c>
      <c r="F111" s="174">
        <v>121.2</v>
      </c>
      <c r="G111" s="174">
        <v>111.6</v>
      </c>
      <c r="H111" s="174">
        <v>112.7</v>
      </c>
      <c r="I111" s="174">
        <v>113.8</v>
      </c>
    </row>
    <row r="112" spans="1:9" s="99" customFormat="1" ht="16.5" customHeight="1" x14ac:dyDescent="0.25">
      <c r="A112" s="203" t="s">
        <v>265</v>
      </c>
      <c r="B112" s="95" t="s">
        <v>266</v>
      </c>
      <c r="C112" s="175">
        <v>1149.95</v>
      </c>
      <c r="D112" s="175">
        <v>1055.28</v>
      </c>
      <c r="E112" s="175">
        <v>914.62199999999996</v>
      </c>
      <c r="F112" s="175">
        <v>880</v>
      </c>
      <c r="G112" s="175">
        <v>950</v>
      </c>
      <c r="H112" s="175">
        <v>950</v>
      </c>
      <c r="I112" s="175">
        <v>950</v>
      </c>
    </row>
    <row r="113" spans="1:218" s="99" customFormat="1" ht="16.5" customHeight="1" x14ac:dyDescent="0.25">
      <c r="A113" s="203" t="s">
        <v>268</v>
      </c>
      <c r="B113" s="95" t="s">
        <v>269</v>
      </c>
      <c r="C113" s="172">
        <v>156.69999999999999</v>
      </c>
      <c r="D113" s="172">
        <v>212.1</v>
      </c>
      <c r="E113" s="172">
        <v>249.4</v>
      </c>
      <c r="F113" s="172">
        <v>280.3</v>
      </c>
      <c r="G113" s="172">
        <v>280</v>
      </c>
      <c r="H113" s="172">
        <v>280</v>
      </c>
      <c r="I113" s="172">
        <v>280</v>
      </c>
    </row>
    <row r="114" spans="1:218" s="99" customFormat="1" ht="16.5" customHeight="1" x14ac:dyDescent="0.25">
      <c r="A114" s="203" t="s">
        <v>270</v>
      </c>
      <c r="B114" s="95" t="s">
        <v>269</v>
      </c>
      <c r="C114" s="107">
        <v>45.2</v>
      </c>
      <c r="D114" s="107">
        <v>40.590000000000003</v>
      </c>
      <c r="E114" s="107">
        <v>47</v>
      </c>
      <c r="F114" s="107">
        <v>38.700000000000003</v>
      </c>
      <c r="G114" s="107">
        <v>40.6</v>
      </c>
      <c r="H114" s="107">
        <v>40.6</v>
      </c>
      <c r="I114" s="107">
        <v>40.6</v>
      </c>
    </row>
    <row r="115" spans="1:218" s="99" customFormat="1" ht="16.5" customHeight="1" x14ac:dyDescent="0.25">
      <c r="A115" s="215" t="s">
        <v>420</v>
      </c>
      <c r="B115" s="106" t="s">
        <v>421</v>
      </c>
      <c r="C115" s="176"/>
      <c r="D115" s="216">
        <v>47</v>
      </c>
      <c r="E115" s="176">
        <f>75+76+76+80</f>
        <v>307</v>
      </c>
      <c r="F115" s="176">
        <f>90+90+40+65</f>
        <v>285</v>
      </c>
      <c r="G115" s="176">
        <f>90+90+100+100</f>
        <v>380</v>
      </c>
      <c r="H115" s="176">
        <v>380</v>
      </c>
      <c r="I115" s="176">
        <v>380</v>
      </c>
    </row>
    <row r="116" spans="1:218" s="99" customFormat="1" ht="16.5" customHeight="1" x14ac:dyDescent="0.25">
      <c r="A116" s="203" t="s">
        <v>271</v>
      </c>
      <c r="B116" s="95" t="s">
        <v>269</v>
      </c>
      <c r="C116" s="153">
        <v>248.3</v>
      </c>
      <c r="D116" s="153">
        <v>245.5</v>
      </c>
      <c r="E116" s="153">
        <v>237.9</v>
      </c>
      <c r="F116" s="153">
        <v>231.6</v>
      </c>
      <c r="G116" s="153">
        <v>243.2</v>
      </c>
      <c r="H116" s="153">
        <v>243.2</v>
      </c>
      <c r="I116" s="153">
        <v>243.2</v>
      </c>
    </row>
    <row r="117" spans="1:218" s="35" customFormat="1" ht="16.5" customHeight="1" x14ac:dyDescent="0.2"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2"/>
      <c r="FK117" s="32"/>
      <c r="FL117" s="32"/>
      <c r="FM117" s="32"/>
      <c r="FN117" s="32"/>
      <c r="FO117" s="32"/>
      <c r="FP117" s="32"/>
      <c r="FQ117" s="32"/>
      <c r="FR117" s="32"/>
      <c r="FS117" s="32"/>
      <c r="FT117" s="32"/>
      <c r="FU117" s="32"/>
      <c r="FV117" s="32"/>
      <c r="FW117" s="32"/>
      <c r="FX117" s="32"/>
      <c r="FY117" s="32"/>
      <c r="FZ117" s="32"/>
      <c r="GA117" s="32"/>
      <c r="GB117" s="32"/>
      <c r="GC117" s="32"/>
      <c r="GD117" s="32"/>
      <c r="GE117" s="32"/>
      <c r="GF117" s="32"/>
      <c r="GG117" s="32"/>
      <c r="GH117" s="32"/>
      <c r="GI117" s="32"/>
      <c r="GJ117" s="32"/>
      <c r="GK117" s="32"/>
      <c r="GL117" s="32"/>
      <c r="GM117" s="32"/>
      <c r="GN117" s="32"/>
      <c r="GO117" s="32"/>
      <c r="GP117" s="32"/>
      <c r="GQ117" s="32"/>
      <c r="GR117" s="32"/>
      <c r="GS117" s="32"/>
      <c r="GT117" s="32"/>
      <c r="GU117" s="32"/>
      <c r="GV117" s="32"/>
      <c r="GW117" s="32"/>
      <c r="GX117" s="32"/>
      <c r="GY117" s="32"/>
      <c r="GZ117" s="32"/>
      <c r="HA117" s="32"/>
      <c r="HB117" s="32"/>
      <c r="HC117" s="32"/>
      <c r="HD117" s="32"/>
      <c r="HE117" s="32"/>
      <c r="HF117" s="32"/>
      <c r="HG117" s="32"/>
      <c r="HH117" s="32"/>
      <c r="HI117" s="32"/>
      <c r="HJ117" s="32"/>
    </row>
    <row r="118" spans="1:218" s="35" customFormat="1" ht="16.5" customHeight="1" x14ac:dyDescent="0.2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2"/>
      <c r="FK118" s="32"/>
      <c r="FL118" s="32"/>
      <c r="FM118" s="32"/>
      <c r="FN118" s="32"/>
      <c r="FO118" s="32"/>
      <c r="FP118" s="32"/>
      <c r="FQ118" s="32"/>
      <c r="FR118" s="32"/>
      <c r="FS118" s="32"/>
      <c r="FT118" s="32"/>
      <c r="FU118" s="32"/>
      <c r="FV118" s="32"/>
      <c r="FW118" s="32"/>
      <c r="FX118" s="32"/>
      <c r="FY118" s="32"/>
      <c r="FZ118" s="32"/>
      <c r="GA118" s="32"/>
      <c r="GB118" s="32"/>
      <c r="GC118" s="32"/>
      <c r="GD118" s="32"/>
      <c r="GE118" s="32"/>
      <c r="GF118" s="32"/>
      <c r="GG118" s="32"/>
      <c r="GH118" s="32"/>
      <c r="GI118" s="32"/>
      <c r="GJ118" s="32"/>
      <c r="GK118" s="32"/>
      <c r="GL118" s="32"/>
      <c r="GM118" s="32"/>
      <c r="GN118" s="32"/>
      <c r="GO118" s="32"/>
      <c r="GP118" s="32"/>
      <c r="GQ118" s="32"/>
      <c r="GR118" s="32"/>
      <c r="GS118" s="32"/>
      <c r="GT118" s="32"/>
      <c r="GU118" s="32"/>
      <c r="GV118" s="32"/>
      <c r="GW118" s="32"/>
      <c r="GX118" s="32"/>
      <c r="GY118" s="32"/>
      <c r="GZ118" s="32"/>
      <c r="HA118" s="32"/>
      <c r="HB118" s="32"/>
      <c r="HC118" s="32"/>
      <c r="HD118" s="32"/>
      <c r="HE118" s="32"/>
      <c r="HF118" s="32"/>
      <c r="HG118" s="32"/>
      <c r="HH118" s="32"/>
      <c r="HI118" s="32"/>
      <c r="HJ118" s="32"/>
    </row>
  </sheetData>
  <mergeCells count="38">
    <mergeCell ref="A6:I6"/>
    <mergeCell ref="G1:I1"/>
    <mergeCell ref="A3:I3"/>
    <mergeCell ref="A4:A5"/>
    <mergeCell ref="B4:B5"/>
    <mergeCell ref="G4:I4"/>
    <mergeCell ref="A28:B28"/>
    <mergeCell ref="A8:B8"/>
    <mergeCell ref="A10:B10"/>
    <mergeCell ref="A12:I12"/>
    <mergeCell ref="A13:I13"/>
    <mergeCell ref="A15:B15"/>
    <mergeCell ref="A16:I16"/>
    <mergeCell ref="A17:I17"/>
    <mergeCell ref="A19:B19"/>
    <mergeCell ref="A20:I20"/>
    <mergeCell ref="A22:I22"/>
    <mergeCell ref="A26:I26"/>
    <mergeCell ref="A56:I56"/>
    <mergeCell ref="A29:I29"/>
    <mergeCell ref="A31:B31"/>
    <mergeCell ref="A33:B33"/>
    <mergeCell ref="A35:B35"/>
    <mergeCell ref="A37:I37"/>
    <mergeCell ref="A41:I41"/>
    <mergeCell ref="A43:B43"/>
    <mergeCell ref="A44:I44"/>
    <mergeCell ref="A47:I47"/>
    <mergeCell ref="A49:I49"/>
    <mergeCell ref="A51:I51"/>
    <mergeCell ref="A105:I105"/>
    <mergeCell ref="A107:I107"/>
    <mergeCell ref="A60:I60"/>
    <mergeCell ref="A62:H62"/>
    <mergeCell ref="A80:I80"/>
    <mergeCell ref="A82:I82"/>
    <mergeCell ref="A89:I89"/>
    <mergeCell ref="A96:I96"/>
  </mergeCells>
  <printOptions horizontalCentered="1"/>
  <pageMargins left="0.23622047244094491" right="0" top="0.86614173228346458" bottom="0.27559055118110237" header="0" footer="0"/>
  <pageSetup paperSize="9" scale="78" fitToHeight="4" orientation="landscape" r:id="rId1"/>
  <headerFooter alignWithMargins="0"/>
  <rowBreaks count="2" manualBreakCount="2">
    <brk id="61" max="15" man="1"/>
    <brk id="99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zoomScaleNormal="100" workbookViewId="0">
      <selection activeCell="E26" sqref="E26"/>
    </sheetView>
  </sheetViews>
  <sheetFormatPr defaultRowHeight="15" x14ac:dyDescent="0.25"/>
  <cols>
    <col min="1" max="1" width="4.7109375" style="36" customWidth="1"/>
    <col min="2" max="2" width="33.42578125" style="36" customWidth="1"/>
    <col min="3" max="4" width="12.28515625" style="36" customWidth="1"/>
    <col min="5" max="5" width="15.28515625" style="36" customWidth="1"/>
    <col min="6" max="6" width="12.7109375" style="36" customWidth="1"/>
    <col min="7" max="7" width="10.85546875" style="36" customWidth="1"/>
    <col min="8" max="256" width="9.140625" style="36"/>
    <col min="257" max="257" width="4.7109375" style="36" customWidth="1"/>
    <col min="258" max="258" width="33.42578125" style="36" customWidth="1"/>
    <col min="259" max="260" width="12.28515625" style="36" customWidth="1"/>
    <col min="261" max="261" width="15.28515625" style="36" customWidth="1"/>
    <col min="262" max="262" width="12.7109375" style="36" customWidth="1"/>
    <col min="263" max="263" width="10.85546875" style="36" customWidth="1"/>
    <col min="264" max="512" width="9.140625" style="36"/>
    <col min="513" max="513" width="4.7109375" style="36" customWidth="1"/>
    <col min="514" max="514" width="33.42578125" style="36" customWidth="1"/>
    <col min="515" max="516" width="12.28515625" style="36" customWidth="1"/>
    <col min="517" max="517" width="15.28515625" style="36" customWidth="1"/>
    <col min="518" max="518" width="12.7109375" style="36" customWidth="1"/>
    <col min="519" max="519" width="10.85546875" style="36" customWidth="1"/>
    <col min="520" max="768" width="9.140625" style="36"/>
    <col min="769" max="769" width="4.7109375" style="36" customWidth="1"/>
    <col min="770" max="770" width="33.42578125" style="36" customWidth="1"/>
    <col min="771" max="772" width="12.28515625" style="36" customWidth="1"/>
    <col min="773" max="773" width="15.28515625" style="36" customWidth="1"/>
    <col min="774" max="774" width="12.7109375" style="36" customWidth="1"/>
    <col min="775" max="775" width="10.85546875" style="36" customWidth="1"/>
    <col min="776" max="1024" width="9.140625" style="36"/>
    <col min="1025" max="1025" width="4.7109375" style="36" customWidth="1"/>
    <col min="1026" max="1026" width="33.42578125" style="36" customWidth="1"/>
    <col min="1027" max="1028" width="12.28515625" style="36" customWidth="1"/>
    <col min="1029" max="1029" width="15.28515625" style="36" customWidth="1"/>
    <col min="1030" max="1030" width="12.7109375" style="36" customWidth="1"/>
    <col min="1031" max="1031" width="10.85546875" style="36" customWidth="1"/>
    <col min="1032" max="1280" width="9.140625" style="36"/>
    <col min="1281" max="1281" width="4.7109375" style="36" customWidth="1"/>
    <col min="1282" max="1282" width="33.42578125" style="36" customWidth="1"/>
    <col min="1283" max="1284" width="12.28515625" style="36" customWidth="1"/>
    <col min="1285" max="1285" width="15.28515625" style="36" customWidth="1"/>
    <col min="1286" max="1286" width="12.7109375" style="36" customWidth="1"/>
    <col min="1287" max="1287" width="10.85546875" style="36" customWidth="1"/>
    <col min="1288" max="1536" width="9.140625" style="36"/>
    <col min="1537" max="1537" width="4.7109375" style="36" customWidth="1"/>
    <col min="1538" max="1538" width="33.42578125" style="36" customWidth="1"/>
    <col min="1539" max="1540" width="12.28515625" style="36" customWidth="1"/>
    <col min="1541" max="1541" width="15.28515625" style="36" customWidth="1"/>
    <col min="1542" max="1542" width="12.7109375" style="36" customWidth="1"/>
    <col min="1543" max="1543" width="10.85546875" style="36" customWidth="1"/>
    <col min="1544" max="1792" width="9.140625" style="36"/>
    <col min="1793" max="1793" width="4.7109375" style="36" customWidth="1"/>
    <col min="1794" max="1794" width="33.42578125" style="36" customWidth="1"/>
    <col min="1795" max="1796" width="12.28515625" style="36" customWidth="1"/>
    <col min="1797" max="1797" width="15.28515625" style="36" customWidth="1"/>
    <col min="1798" max="1798" width="12.7109375" style="36" customWidth="1"/>
    <col min="1799" max="1799" width="10.85546875" style="36" customWidth="1"/>
    <col min="1800" max="2048" width="9.140625" style="36"/>
    <col min="2049" max="2049" width="4.7109375" style="36" customWidth="1"/>
    <col min="2050" max="2050" width="33.42578125" style="36" customWidth="1"/>
    <col min="2051" max="2052" width="12.28515625" style="36" customWidth="1"/>
    <col min="2053" max="2053" width="15.28515625" style="36" customWidth="1"/>
    <col min="2054" max="2054" width="12.7109375" style="36" customWidth="1"/>
    <col min="2055" max="2055" width="10.85546875" style="36" customWidth="1"/>
    <col min="2056" max="2304" width="9.140625" style="36"/>
    <col min="2305" max="2305" width="4.7109375" style="36" customWidth="1"/>
    <col min="2306" max="2306" width="33.42578125" style="36" customWidth="1"/>
    <col min="2307" max="2308" width="12.28515625" style="36" customWidth="1"/>
    <col min="2309" max="2309" width="15.28515625" style="36" customWidth="1"/>
    <col min="2310" max="2310" width="12.7109375" style="36" customWidth="1"/>
    <col min="2311" max="2311" width="10.85546875" style="36" customWidth="1"/>
    <col min="2312" max="2560" width="9.140625" style="36"/>
    <col min="2561" max="2561" width="4.7109375" style="36" customWidth="1"/>
    <col min="2562" max="2562" width="33.42578125" style="36" customWidth="1"/>
    <col min="2563" max="2564" width="12.28515625" style="36" customWidth="1"/>
    <col min="2565" max="2565" width="15.28515625" style="36" customWidth="1"/>
    <col min="2566" max="2566" width="12.7109375" style="36" customWidth="1"/>
    <col min="2567" max="2567" width="10.85546875" style="36" customWidth="1"/>
    <col min="2568" max="2816" width="9.140625" style="36"/>
    <col min="2817" max="2817" width="4.7109375" style="36" customWidth="1"/>
    <col min="2818" max="2818" width="33.42578125" style="36" customWidth="1"/>
    <col min="2819" max="2820" width="12.28515625" style="36" customWidth="1"/>
    <col min="2821" max="2821" width="15.28515625" style="36" customWidth="1"/>
    <col min="2822" max="2822" width="12.7109375" style="36" customWidth="1"/>
    <col min="2823" max="2823" width="10.85546875" style="36" customWidth="1"/>
    <col min="2824" max="3072" width="9.140625" style="36"/>
    <col min="3073" max="3073" width="4.7109375" style="36" customWidth="1"/>
    <col min="3074" max="3074" width="33.42578125" style="36" customWidth="1"/>
    <col min="3075" max="3076" width="12.28515625" style="36" customWidth="1"/>
    <col min="3077" max="3077" width="15.28515625" style="36" customWidth="1"/>
    <col min="3078" max="3078" width="12.7109375" style="36" customWidth="1"/>
    <col min="3079" max="3079" width="10.85546875" style="36" customWidth="1"/>
    <col min="3080" max="3328" width="9.140625" style="36"/>
    <col min="3329" max="3329" width="4.7109375" style="36" customWidth="1"/>
    <col min="3330" max="3330" width="33.42578125" style="36" customWidth="1"/>
    <col min="3331" max="3332" width="12.28515625" style="36" customWidth="1"/>
    <col min="3333" max="3333" width="15.28515625" style="36" customWidth="1"/>
    <col min="3334" max="3334" width="12.7109375" style="36" customWidth="1"/>
    <col min="3335" max="3335" width="10.85546875" style="36" customWidth="1"/>
    <col min="3336" max="3584" width="9.140625" style="36"/>
    <col min="3585" max="3585" width="4.7109375" style="36" customWidth="1"/>
    <col min="3586" max="3586" width="33.42578125" style="36" customWidth="1"/>
    <col min="3587" max="3588" width="12.28515625" style="36" customWidth="1"/>
    <col min="3589" max="3589" width="15.28515625" style="36" customWidth="1"/>
    <col min="3590" max="3590" width="12.7109375" style="36" customWidth="1"/>
    <col min="3591" max="3591" width="10.85546875" style="36" customWidth="1"/>
    <col min="3592" max="3840" width="9.140625" style="36"/>
    <col min="3841" max="3841" width="4.7109375" style="36" customWidth="1"/>
    <col min="3842" max="3842" width="33.42578125" style="36" customWidth="1"/>
    <col min="3843" max="3844" width="12.28515625" style="36" customWidth="1"/>
    <col min="3845" max="3845" width="15.28515625" style="36" customWidth="1"/>
    <col min="3846" max="3846" width="12.7109375" style="36" customWidth="1"/>
    <col min="3847" max="3847" width="10.85546875" style="36" customWidth="1"/>
    <col min="3848" max="4096" width="9.140625" style="36"/>
    <col min="4097" max="4097" width="4.7109375" style="36" customWidth="1"/>
    <col min="4098" max="4098" width="33.42578125" style="36" customWidth="1"/>
    <col min="4099" max="4100" width="12.28515625" style="36" customWidth="1"/>
    <col min="4101" max="4101" width="15.28515625" style="36" customWidth="1"/>
    <col min="4102" max="4102" width="12.7109375" style="36" customWidth="1"/>
    <col min="4103" max="4103" width="10.85546875" style="36" customWidth="1"/>
    <col min="4104" max="4352" width="9.140625" style="36"/>
    <col min="4353" max="4353" width="4.7109375" style="36" customWidth="1"/>
    <col min="4354" max="4354" width="33.42578125" style="36" customWidth="1"/>
    <col min="4355" max="4356" width="12.28515625" style="36" customWidth="1"/>
    <col min="4357" max="4357" width="15.28515625" style="36" customWidth="1"/>
    <col min="4358" max="4358" width="12.7109375" style="36" customWidth="1"/>
    <col min="4359" max="4359" width="10.85546875" style="36" customWidth="1"/>
    <col min="4360" max="4608" width="9.140625" style="36"/>
    <col min="4609" max="4609" width="4.7109375" style="36" customWidth="1"/>
    <col min="4610" max="4610" width="33.42578125" style="36" customWidth="1"/>
    <col min="4611" max="4612" width="12.28515625" style="36" customWidth="1"/>
    <col min="4613" max="4613" width="15.28515625" style="36" customWidth="1"/>
    <col min="4614" max="4614" width="12.7109375" style="36" customWidth="1"/>
    <col min="4615" max="4615" width="10.85546875" style="36" customWidth="1"/>
    <col min="4616" max="4864" width="9.140625" style="36"/>
    <col min="4865" max="4865" width="4.7109375" style="36" customWidth="1"/>
    <col min="4866" max="4866" width="33.42578125" style="36" customWidth="1"/>
    <col min="4867" max="4868" width="12.28515625" style="36" customWidth="1"/>
    <col min="4869" max="4869" width="15.28515625" style="36" customWidth="1"/>
    <col min="4870" max="4870" width="12.7109375" style="36" customWidth="1"/>
    <col min="4871" max="4871" width="10.85546875" style="36" customWidth="1"/>
    <col min="4872" max="5120" width="9.140625" style="36"/>
    <col min="5121" max="5121" width="4.7109375" style="36" customWidth="1"/>
    <col min="5122" max="5122" width="33.42578125" style="36" customWidth="1"/>
    <col min="5123" max="5124" width="12.28515625" style="36" customWidth="1"/>
    <col min="5125" max="5125" width="15.28515625" style="36" customWidth="1"/>
    <col min="5126" max="5126" width="12.7109375" style="36" customWidth="1"/>
    <col min="5127" max="5127" width="10.85546875" style="36" customWidth="1"/>
    <col min="5128" max="5376" width="9.140625" style="36"/>
    <col min="5377" max="5377" width="4.7109375" style="36" customWidth="1"/>
    <col min="5378" max="5378" width="33.42578125" style="36" customWidth="1"/>
    <col min="5379" max="5380" width="12.28515625" style="36" customWidth="1"/>
    <col min="5381" max="5381" width="15.28515625" style="36" customWidth="1"/>
    <col min="5382" max="5382" width="12.7109375" style="36" customWidth="1"/>
    <col min="5383" max="5383" width="10.85546875" style="36" customWidth="1"/>
    <col min="5384" max="5632" width="9.140625" style="36"/>
    <col min="5633" max="5633" width="4.7109375" style="36" customWidth="1"/>
    <col min="5634" max="5634" width="33.42578125" style="36" customWidth="1"/>
    <col min="5635" max="5636" width="12.28515625" style="36" customWidth="1"/>
    <col min="5637" max="5637" width="15.28515625" style="36" customWidth="1"/>
    <col min="5638" max="5638" width="12.7109375" style="36" customWidth="1"/>
    <col min="5639" max="5639" width="10.85546875" style="36" customWidth="1"/>
    <col min="5640" max="5888" width="9.140625" style="36"/>
    <col min="5889" max="5889" width="4.7109375" style="36" customWidth="1"/>
    <col min="5890" max="5890" width="33.42578125" style="36" customWidth="1"/>
    <col min="5891" max="5892" width="12.28515625" style="36" customWidth="1"/>
    <col min="5893" max="5893" width="15.28515625" style="36" customWidth="1"/>
    <col min="5894" max="5894" width="12.7109375" style="36" customWidth="1"/>
    <col min="5895" max="5895" width="10.85546875" style="36" customWidth="1"/>
    <col min="5896" max="6144" width="9.140625" style="36"/>
    <col min="6145" max="6145" width="4.7109375" style="36" customWidth="1"/>
    <col min="6146" max="6146" width="33.42578125" style="36" customWidth="1"/>
    <col min="6147" max="6148" width="12.28515625" style="36" customWidth="1"/>
    <col min="6149" max="6149" width="15.28515625" style="36" customWidth="1"/>
    <col min="6150" max="6150" width="12.7109375" style="36" customWidth="1"/>
    <col min="6151" max="6151" width="10.85546875" style="36" customWidth="1"/>
    <col min="6152" max="6400" width="9.140625" style="36"/>
    <col min="6401" max="6401" width="4.7109375" style="36" customWidth="1"/>
    <col min="6402" max="6402" width="33.42578125" style="36" customWidth="1"/>
    <col min="6403" max="6404" width="12.28515625" style="36" customWidth="1"/>
    <col min="6405" max="6405" width="15.28515625" style="36" customWidth="1"/>
    <col min="6406" max="6406" width="12.7109375" style="36" customWidth="1"/>
    <col min="6407" max="6407" width="10.85546875" style="36" customWidth="1"/>
    <col min="6408" max="6656" width="9.140625" style="36"/>
    <col min="6657" max="6657" width="4.7109375" style="36" customWidth="1"/>
    <col min="6658" max="6658" width="33.42578125" style="36" customWidth="1"/>
    <col min="6659" max="6660" width="12.28515625" style="36" customWidth="1"/>
    <col min="6661" max="6661" width="15.28515625" style="36" customWidth="1"/>
    <col min="6662" max="6662" width="12.7109375" style="36" customWidth="1"/>
    <col min="6663" max="6663" width="10.85546875" style="36" customWidth="1"/>
    <col min="6664" max="6912" width="9.140625" style="36"/>
    <col min="6913" max="6913" width="4.7109375" style="36" customWidth="1"/>
    <col min="6914" max="6914" width="33.42578125" style="36" customWidth="1"/>
    <col min="6915" max="6916" width="12.28515625" style="36" customWidth="1"/>
    <col min="6917" max="6917" width="15.28515625" style="36" customWidth="1"/>
    <col min="6918" max="6918" width="12.7109375" style="36" customWidth="1"/>
    <col min="6919" max="6919" width="10.85546875" style="36" customWidth="1"/>
    <col min="6920" max="7168" width="9.140625" style="36"/>
    <col min="7169" max="7169" width="4.7109375" style="36" customWidth="1"/>
    <col min="7170" max="7170" width="33.42578125" style="36" customWidth="1"/>
    <col min="7171" max="7172" width="12.28515625" style="36" customWidth="1"/>
    <col min="7173" max="7173" width="15.28515625" style="36" customWidth="1"/>
    <col min="7174" max="7174" width="12.7109375" style="36" customWidth="1"/>
    <col min="7175" max="7175" width="10.85546875" style="36" customWidth="1"/>
    <col min="7176" max="7424" width="9.140625" style="36"/>
    <col min="7425" max="7425" width="4.7109375" style="36" customWidth="1"/>
    <col min="7426" max="7426" width="33.42578125" style="36" customWidth="1"/>
    <col min="7427" max="7428" width="12.28515625" style="36" customWidth="1"/>
    <col min="7429" max="7429" width="15.28515625" style="36" customWidth="1"/>
    <col min="7430" max="7430" width="12.7109375" style="36" customWidth="1"/>
    <col min="7431" max="7431" width="10.85546875" style="36" customWidth="1"/>
    <col min="7432" max="7680" width="9.140625" style="36"/>
    <col min="7681" max="7681" width="4.7109375" style="36" customWidth="1"/>
    <col min="7682" max="7682" width="33.42578125" style="36" customWidth="1"/>
    <col min="7683" max="7684" width="12.28515625" style="36" customWidth="1"/>
    <col min="7685" max="7685" width="15.28515625" style="36" customWidth="1"/>
    <col min="7686" max="7686" width="12.7109375" style="36" customWidth="1"/>
    <col min="7687" max="7687" width="10.85546875" style="36" customWidth="1"/>
    <col min="7688" max="7936" width="9.140625" style="36"/>
    <col min="7937" max="7937" width="4.7109375" style="36" customWidth="1"/>
    <col min="7938" max="7938" width="33.42578125" style="36" customWidth="1"/>
    <col min="7939" max="7940" width="12.28515625" style="36" customWidth="1"/>
    <col min="7941" max="7941" width="15.28515625" style="36" customWidth="1"/>
    <col min="7942" max="7942" width="12.7109375" style="36" customWidth="1"/>
    <col min="7943" max="7943" width="10.85546875" style="36" customWidth="1"/>
    <col min="7944" max="8192" width="9.140625" style="36"/>
    <col min="8193" max="8193" width="4.7109375" style="36" customWidth="1"/>
    <col min="8194" max="8194" width="33.42578125" style="36" customWidth="1"/>
    <col min="8195" max="8196" width="12.28515625" style="36" customWidth="1"/>
    <col min="8197" max="8197" width="15.28515625" style="36" customWidth="1"/>
    <col min="8198" max="8198" width="12.7109375" style="36" customWidth="1"/>
    <col min="8199" max="8199" width="10.85546875" style="36" customWidth="1"/>
    <col min="8200" max="8448" width="9.140625" style="36"/>
    <col min="8449" max="8449" width="4.7109375" style="36" customWidth="1"/>
    <col min="8450" max="8450" width="33.42578125" style="36" customWidth="1"/>
    <col min="8451" max="8452" width="12.28515625" style="36" customWidth="1"/>
    <col min="8453" max="8453" width="15.28515625" style="36" customWidth="1"/>
    <col min="8454" max="8454" width="12.7109375" style="36" customWidth="1"/>
    <col min="8455" max="8455" width="10.85546875" style="36" customWidth="1"/>
    <col min="8456" max="8704" width="9.140625" style="36"/>
    <col min="8705" max="8705" width="4.7109375" style="36" customWidth="1"/>
    <col min="8706" max="8706" width="33.42578125" style="36" customWidth="1"/>
    <col min="8707" max="8708" width="12.28515625" style="36" customWidth="1"/>
    <col min="8709" max="8709" width="15.28515625" style="36" customWidth="1"/>
    <col min="8710" max="8710" width="12.7109375" style="36" customWidth="1"/>
    <col min="8711" max="8711" width="10.85546875" style="36" customWidth="1"/>
    <col min="8712" max="8960" width="9.140625" style="36"/>
    <col min="8961" max="8961" width="4.7109375" style="36" customWidth="1"/>
    <col min="8962" max="8962" width="33.42578125" style="36" customWidth="1"/>
    <col min="8963" max="8964" width="12.28515625" style="36" customWidth="1"/>
    <col min="8965" max="8965" width="15.28515625" style="36" customWidth="1"/>
    <col min="8966" max="8966" width="12.7109375" style="36" customWidth="1"/>
    <col min="8967" max="8967" width="10.85546875" style="36" customWidth="1"/>
    <col min="8968" max="9216" width="9.140625" style="36"/>
    <col min="9217" max="9217" width="4.7109375" style="36" customWidth="1"/>
    <col min="9218" max="9218" width="33.42578125" style="36" customWidth="1"/>
    <col min="9219" max="9220" width="12.28515625" style="36" customWidth="1"/>
    <col min="9221" max="9221" width="15.28515625" style="36" customWidth="1"/>
    <col min="9222" max="9222" width="12.7109375" style="36" customWidth="1"/>
    <col min="9223" max="9223" width="10.85546875" style="36" customWidth="1"/>
    <col min="9224" max="9472" width="9.140625" style="36"/>
    <col min="9473" max="9473" width="4.7109375" style="36" customWidth="1"/>
    <col min="9474" max="9474" width="33.42578125" style="36" customWidth="1"/>
    <col min="9475" max="9476" width="12.28515625" style="36" customWidth="1"/>
    <col min="9477" max="9477" width="15.28515625" style="36" customWidth="1"/>
    <col min="9478" max="9478" width="12.7109375" style="36" customWidth="1"/>
    <col min="9479" max="9479" width="10.85546875" style="36" customWidth="1"/>
    <col min="9480" max="9728" width="9.140625" style="36"/>
    <col min="9729" max="9729" width="4.7109375" style="36" customWidth="1"/>
    <col min="9730" max="9730" width="33.42578125" style="36" customWidth="1"/>
    <col min="9731" max="9732" width="12.28515625" style="36" customWidth="1"/>
    <col min="9733" max="9733" width="15.28515625" style="36" customWidth="1"/>
    <col min="9734" max="9734" width="12.7109375" style="36" customWidth="1"/>
    <col min="9735" max="9735" width="10.85546875" style="36" customWidth="1"/>
    <col min="9736" max="9984" width="9.140625" style="36"/>
    <col min="9985" max="9985" width="4.7109375" style="36" customWidth="1"/>
    <col min="9986" max="9986" width="33.42578125" style="36" customWidth="1"/>
    <col min="9987" max="9988" width="12.28515625" style="36" customWidth="1"/>
    <col min="9989" max="9989" width="15.28515625" style="36" customWidth="1"/>
    <col min="9990" max="9990" width="12.7109375" style="36" customWidth="1"/>
    <col min="9991" max="9991" width="10.85546875" style="36" customWidth="1"/>
    <col min="9992" max="10240" width="9.140625" style="36"/>
    <col min="10241" max="10241" width="4.7109375" style="36" customWidth="1"/>
    <col min="10242" max="10242" width="33.42578125" style="36" customWidth="1"/>
    <col min="10243" max="10244" width="12.28515625" style="36" customWidth="1"/>
    <col min="10245" max="10245" width="15.28515625" style="36" customWidth="1"/>
    <col min="10246" max="10246" width="12.7109375" style="36" customWidth="1"/>
    <col min="10247" max="10247" width="10.85546875" style="36" customWidth="1"/>
    <col min="10248" max="10496" width="9.140625" style="36"/>
    <col min="10497" max="10497" width="4.7109375" style="36" customWidth="1"/>
    <col min="10498" max="10498" width="33.42578125" style="36" customWidth="1"/>
    <col min="10499" max="10500" width="12.28515625" style="36" customWidth="1"/>
    <col min="10501" max="10501" width="15.28515625" style="36" customWidth="1"/>
    <col min="10502" max="10502" width="12.7109375" style="36" customWidth="1"/>
    <col min="10503" max="10503" width="10.85546875" style="36" customWidth="1"/>
    <col min="10504" max="10752" width="9.140625" style="36"/>
    <col min="10753" max="10753" width="4.7109375" style="36" customWidth="1"/>
    <col min="10754" max="10754" width="33.42578125" style="36" customWidth="1"/>
    <col min="10755" max="10756" width="12.28515625" style="36" customWidth="1"/>
    <col min="10757" max="10757" width="15.28515625" style="36" customWidth="1"/>
    <col min="10758" max="10758" width="12.7109375" style="36" customWidth="1"/>
    <col min="10759" max="10759" width="10.85546875" style="36" customWidth="1"/>
    <col min="10760" max="11008" width="9.140625" style="36"/>
    <col min="11009" max="11009" width="4.7109375" style="36" customWidth="1"/>
    <col min="11010" max="11010" width="33.42578125" style="36" customWidth="1"/>
    <col min="11011" max="11012" width="12.28515625" style="36" customWidth="1"/>
    <col min="11013" max="11013" width="15.28515625" style="36" customWidth="1"/>
    <col min="11014" max="11014" width="12.7109375" style="36" customWidth="1"/>
    <col min="11015" max="11015" width="10.85546875" style="36" customWidth="1"/>
    <col min="11016" max="11264" width="9.140625" style="36"/>
    <col min="11265" max="11265" width="4.7109375" style="36" customWidth="1"/>
    <col min="11266" max="11266" width="33.42578125" style="36" customWidth="1"/>
    <col min="11267" max="11268" width="12.28515625" style="36" customWidth="1"/>
    <col min="11269" max="11269" width="15.28515625" style="36" customWidth="1"/>
    <col min="11270" max="11270" width="12.7109375" style="36" customWidth="1"/>
    <col min="11271" max="11271" width="10.85546875" style="36" customWidth="1"/>
    <col min="11272" max="11520" width="9.140625" style="36"/>
    <col min="11521" max="11521" width="4.7109375" style="36" customWidth="1"/>
    <col min="11522" max="11522" width="33.42578125" style="36" customWidth="1"/>
    <col min="11523" max="11524" width="12.28515625" style="36" customWidth="1"/>
    <col min="11525" max="11525" width="15.28515625" style="36" customWidth="1"/>
    <col min="11526" max="11526" width="12.7109375" style="36" customWidth="1"/>
    <col min="11527" max="11527" width="10.85546875" style="36" customWidth="1"/>
    <col min="11528" max="11776" width="9.140625" style="36"/>
    <col min="11777" max="11777" width="4.7109375" style="36" customWidth="1"/>
    <col min="11778" max="11778" width="33.42578125" style="36" customWidth="1"/>
    <col min="11779" max="11780" width="12.28515625" style="36" customWidth="1"/>
    <col min="11781" max="11781" width="15.28515625" style="36" customWidth="1"/>
    <col min="11782" max="11782" width="12.7109375" style="36" customWidth="1"/>
    <col min="11783" max="11783" width="10.85546875" style="36" customWidth="1"/>
    <col min="11784" max="12032" width="9.140625" style="36"/>
    <col min="12033" max="12033" width="4.7109375" style="36" customWidth="1"/>
    <col min="12034" max="12034" width="33.42578125" style="36" customWidth="1"/>
    <col min="12035" max="12036" width="12.28515625" style="36" customWidth="1"/>
    <col min="12037" max="12037" width="15.28515625" style="36" customWidth="1"/>
    <col min="12038" max="12038" width="12.7109375" style="36" customWidth="1"/>
    <col min="12039" max="12039" width="10.85546875" style="36" customWidth="1"/>
    <col min="12040" max="12288" width="9.140625" style="36"/>
    <col min="12289" max="12289" width="4.7109375" style="36" customWidth="1"/>
    <col min="12290" max="12290" width="33.42578125" style="36" customWidth="1"/>
    <col min="12291" max="12292" width="12.28515625" style="36" customWidth="1"/>
    <col min="12293" max="12293" width="15.28515625" style="36" customWidth="1"/>
    <col min="12294" max="12294" width="12.7109375" style="36" customWidth="1"/>
    <col min="12295" max="12295" width="10.85546875" style="36" customWidth="1"/>
    <col min="12296" max="12544" width="9.140625" style="36"/>
    <col min="12545" max="12545" width="4.7109375" style="36" customWidth="1"/>
    <col min="12546" max="12546" width="33.42578125" style="36" customWidth="1"/>
    <col min="12547" max="12548" width="12.28515625" style="36" customWidth="1"/>
    <col min="12549" max="12549" width="15.28515625" style="36" customWidth="1"/>
    <col min="12550" max="12550" width="12.7109375" style="36" customWidth="1"/>
    <col min="12551" max="12551" width="10.85546875" style="36" customWidth="1"/>
    <col min="12552" max="12800" width="9.140625" style="36"/>
    <col min="12801" max="12801" width="4.7109375" style="36" customWidth="1"/>
    <col min="12802" max="12802" width="33.42578125" style="36" customWidth="1"/>
    <col min="12803" max="12804" width="12.28515625" style="36" customWidth="1"/>
    <col min="12805" max="12805" width="15.28515625" style="36" customWidth="1"/>
    <col min="12806" max="12806" width="12.7109375" style="36" customWidth="1"/>
    <col min="12807" max="12807" width="10.85546875" style="36" customWidth="1"/>
    <col min="12808" max="13056" width="9.140625" style="36"/>
    <col min="13057" max="13057" width="4.7109375" style="36" customWidth="1"/>
    <col min="13058" max="13058" width="33.42578125" style="36" customWidth="1"/>
    <col min="13059" max="13060" width="12.28515625" style="36" customWidth="1"/>
    <col min="13061" max="13061" width="15.28515625" style="36" customWidth="1"/>
    <col min="13062" max="13062" width="12.7109375" style="36" customWidth="1"/>
    <col min="13063" max="13063" width="10.85546875" style="36" customWidth="1"/>
    <col min="13064" max="13312" width="9.140625" style="36"/>
    <col min="13313" max="13313" width="4.7109375" style="36" customWidth="1"/>
    <col min="13314" max="13314" width="33.42578125" style="36" customWidth="1"/>
    <col min="13315" max="13316" width="12.28515625" style="36" customWidth="1"/>
    <col min="13317" max="13317" width="15.28515625" style="36" customWidth="1"/>
    <col min="13318" max="13318" width="12.7109375" style="36" customWidth="1"/>
    <col min="13319" max="13319" width="10.85546875" style="36" customWidth="1"/>
    <col min="13320" max="13568" width="9.140625" style="36"/>
    <col min="13569" max="13569" width="4.7109375" style="36" customWidth="1"/>
    <col min="13570" max="13570" width="33.42578125" style="36" customWidth="1"/>
    <col min="13571" max="13572" width="12.28515625" style="36" customWidth="1"/>
    <col min="13573" max="13573" width="15.28515625" style="36" customWidth="1"/>
    <col min="13574" max="13574" width="12.7109375" style="36" customWidth="1"/>
    <col min="13575" max="13575" width="10.85546875" style="36" customWidth="1"/>
    <col min="13576" max="13824" width="9.140625" style="36"/>
    <col min="13825" max="13825" width="4.7109375" style="36" customWidth="1"/>
    <col min="13826" max="13826" width="33.42578125" style="36" customWidth="1"/>
    <col min="13827" max="13828" width="12.28515625" style="36" customWidth="1"/>
    <col min="13829" max="13829" width="15.28515625" style="36" customWidth="1"/>
    <col min="13830" max="13830" width="12.7109375" style="36" customWidth="1"/>
    <col min="13831" max="13831" width="10.85546875" style="36" customWidth="1"/>
    <col min="13832" max="14080" width="9.140625" style="36"/>
    <col min="14081" max="14081" width="4.7109375" style="36" customWidth="1"/>
    <col min="14082" max="14082" width="33.42578125" style="36" customWidth="1"/>
    <col min="14083" max="14084" width="12.28515625" style="36" customWidth="1"/>
    <col min="14085" max="14085" width="15.28515625" style="36" customWidth="1"/>
    <col min="14086" max="14086" width="12.7109375" style="36" customWidth="1"/>
    <col min="14087" max="14087" width="10.85546875" style="36" customWidth="1"/>
    <col min="14088" max="14336" width="9.140625" style="36"/>
    <col min="14337" max="14337" width="4.7109375" style="36" customWidth="1"/>
    <col min="14338" max="14338" width="33.42578125" style="36" customWidth="1"/>
    <col min="14339" max="14340" width="12.28515625" style="36" customWidth="1"/>
    <col min="14341" max="14341" width="15.28515625" style="36" customWidth="1"/>
    <col min="14342" max="14342" width="12.7109375" style="36" customWidth="1"/>
    <col min="14343" max="14343" width="10.85546875" style="36" customWidth="1"/>
    <col min="14344" max="14592" width="9.140625" style="36"/>
    <col min="14593" max="14593" width="4.7109375" style="36" customWidth="1"/>
    <col min="14594" max="14594" width="33.42578125" style="36" customWidth="1"/>
    <col min="14595" max="14596" width="12.28515625" style="36" customWidth="1"/>
    <col min="14597" max="14597" width="15.28515625" style="36" customWidth="1"/>
    <col min="14598" max="14598" width="12.7109375" style="36" customWidth="1"/>
    <col min="14599" max="14599" width="10.85546875" style="36" customWidth="1"/>
    <col min="14600" max="14848" width="9.140625" style="36"/>
    <col min="14849" max="14849" width="4.7109375" style="36" customWidth="1"/>
    <col min="14850" max="14850" width="33.42578125" style="36" customWidth="1"/>
    <col min="14851" max="14852" width="12.28515625" style="36" customWidth="1"/>
    <col min="14853" max="14853" width="15.28515625" style="36" customWidth="1"/>
    <col min="14854" max="14854" width="12.7109375" style="36" customWidth="1"/>
    <col min="14855" max="14855" width="10.85546875" style="36" customWidth="1"/>
    <col min="14856" max="15104" width="9.140625" style="36"/>
    <col min="15105" max="15105" width="4.7109375" style="36" customWidth="1"/>
    <col min="15106" max="15106" width="33.42578125" style="36" customWidth="1"/>
    <col min="15107" max="15108" width="12.28515625" style="36" customWidth="1"/>
    <col min="15109" max="15109" width="15.28515625" style="36" customWidth="1"/>
    <col min="15110" max="15110" width="12.7109375" style="36" customWidth="1"/>
    <col min="15111" max="15111" width="10.85546875" style="36" customWidth="1"/>
    <col min="15112" max="15360" width="9.140625" style="36"/>
    <col min="15361" max="15361" width="4.7109375" style="36" customWidth="1"/>
    <col min="15362" max="15362" width="33.42578125" style="36" customWidth="1"/>
    <col min="15363" max="15364" width="12.28515625" style="36" customWidth="1"/>
    <col min="15365" max="15365" width="15.28515625" style="36" customWidth="1"/>
    <col min="15366" max="15366" width="12.7109375" style="36" customWidth="1"/>
    <col min="15367" max="15367" width="10.85546875" style="36" customWidth="1"/>
    <col min="15368" max="15616" width="9.140625" style="36"/>
    <col min="15617" max="15617" width="4.7109375" style="36" customWidth="1"/>
    <col min="15618" max="15618" width="33.42578125" style="36" customWidth="1"/>
    <col min="15619" max="15620" width="12.28515625" style="36" customWidth="1"/>
    <col min="15621" max="15621" width="15.28515625" style="36" customWidth="1"/>
    <col min="15622" max="15622" width="12.7109375" style="36" customWidth="1"/>
    <col min="15623" max="15623" width="10.85546875" style="36" customWidth="1"/>
    <col min="15624" max="15872" width="9.140625" style="36"/>
    <col min="15873" max="15873" width="4.7109375" style="36" customWidth="1"/>
    <col min="15874" max="15874" width="33.42578125" style="36" customWidth="1"/>
    <col min="15875" max="15876" width="12.28515625" style="36" customWidth="1"/>
    <col min="15877" max="15877" width="15.28515625" style="36" customWidth="1"/>
    <col min="15878" max="15878" width="12.7109375" style="36" customWidth="1"/>
    <col min="15879" max="15879" width="10.85546875" style="36" customWidth="1"/>
    <col min="15880" max="16128" width="9.140625" style="36"/>
    <col min="16129" max="16129" width="4.7109375" style="36" customWidth="1"/>
    <col min="16130" max="16130" width="33.42578125" style="36" customWidth="1"/>
    <col min="16131" max="16132" width="12.28515625" style="36" customWidth="1"/>
    <col min="16133" max="16133" width="15.28515625" style="36" customWidth="1"/>
    <col min="16134" max="16134" width="12.7109375" style="36" customWidth="1"/>
    <col min="16135" max="16135" width="10.85546875" style="36" customWidth="1"/>
    <col min="16136" max="16384" width="9.140625" style="36"/>
  </cols>
  <sheetData>
    <row r="1" spans="1:8" x14ac:dyDescent="0.25">
      <c r="E1" s="294" t="s">
        <v>383</v>
      </c>
      <c r="F1" s="294"/>
      <c r="G1" s="294"/>
      <c r="H1" s="294"/>
    </row>
    <row r="2" spans="1:8" ht="34.5" customHeight="1" x14ac:dyDescent="0.25">
      <c r="E2" s="295" t="s">
        <v>565</v>
      </c>
      <c r="F2" s="295"/>
      <c r="G2" s="295"/>
      <c r="H2" s="295"/>
    </row>
    <row r="5" spans="1:8" ht="51.75" customHeight="1" x14ac:dyDescent="0.3">
      <c r="A5" s="296" t="s">
        <v>566</v>
      </c>
      <c r="B5" s="296"/>
      <c r="C5" s="296"/>
      <c r="D5" s="296"/>
      <c r="E5" s="296"/>
      <c r="F5" s="296"/>
      <c r="G5" s="296"/>
      <c r="H5" s="296"/>
    </row>
    <row r="7" spans="1:8" ht="15.75" thickBot="1" x14ac:dyDescent="0.3"/>
    <row r="8" spans="1:8" ht="31.5" customHeight="1" x14ac:dyDescent="0.25">
      <c r="A8" s="297" t="s">
        <v>272</v>
      </c>
      <c r="B8" s="291"/>
      <c r="C8" s="299" t="s">
        <v>384</v>
      </c>
      <c r="D8" s="301" t="s">
        <v>567</v>
      </c>
      <c r="E8" s="299" t="s">
        <v>568</v>
      </c>
      <c r="F8" s="299" t="s">
        <v>274</v>
      </c>
      <c r="G8" s="299"/>
      <c r="H8" s="303"/>
    </row>
    <row r="9" spans="1:8" ht="16.5" thickBot="1" x14ac:dyDescent="0.3">
      <c r="A9" s="298"/>
      <c r="B9" s="293"/>
      <c r="C9" s="300"/>
      <c r="D9" s="302"/>
      <c r="E9" s="300"/>
      <c r="F9" s="37" t="s">
        <v>422</v>
      </c>
      <c r="G9" s="37" t="s">
        <v>456</v>
      </c>
      <c r="H9" s="38" t="s">
        <v>569</v>
      </c>
    </row>
    <row r="10" spans="1:8" ht="37.5" customHeight="1" x14ac:dyDescent="0.25">
      <c r="A10" s="288" t="s">
        <v>276</v>
      </c>
      <c r="B10" s="39" t="s">
        <v>277</v>
      </c>
      <c r="C10" s="291" t="s">
        <v>259</v>
      </c>
      <c r="D10" s="217">
        <f>D12+D13</f>
        <v>78.7</v>
      </c>
      <c r="E10" s="217">
        <f>E12+E13</f>
        <v>77.900000000000006</v>
      </c>
      <c r="F10" s="217">
        <f>F12+F13</f>
        <v>77</v>
      </c>
      <c r="G10" s="217">
        <f>G12+G13</f>
        <v>77.800000000000011</v>
      </c>
      <c r="H10" s="218">
        <f>H12+H13</f>
        <v>78.5</v>
      </c>
    </row>
    <row r="11" spans="1:8" ht="15.75" x14ac:dyDescent="0.25">
      <c r="A11" s="289"/>
      <c r="B11" s="40" t="s">
        <v>227</v>
      </c>
      <c r="C11" s="292"/>
      <c r="D11" s="219"/>
      <c r="E11" s="220"/>
      <c r="F11" s="220"/>
      <c r="G11" s="220"/>
      <c r="H11" s="221"/>
    </row>
    <row r="12" spans="1:8" ht="15.75" x14ac:dyDescent="0.25">
      <c r="A12" s="289"/>
      <c r="B12" s="41" t="s">
        <v>278</v>
      </c>
      <c r="C12" s="292"/>
      <c r="D12" s="222">
        <v>69.2</v>
      </c>
      <c r="E12" s="222">
        <v>70</v>
      </c>
      <c r="F12" s="222">
        <v>68.7</v>
      </c>
      <c r="G12" s="223">
        <v>69.400000000000006</v>
      </c>
      <c r="H12" s="224">
        <v>70</v>
      </c>
    </row>
    <row r="13" spans="1:8" ht="16.5" thickBot="1" x14ac:dyDescent="0.3">
      <c r="A13" s="290"/>
      <c r="B13" s="42" t="s">
        <v>279</v>
      </c>
      <c r="C13" s="293"/>
      <c r="D13" s="225">
        <v>9.5</v>
      </c>
      <c r="E13" s="225">
        <v>7.9</v>
      </c>
      <c r="F13" s="225">
        <v>8.3000000000000007</v>
      </c>
      <c r="G13" s="226">
        <v>8.4</v>
      </c>
      <c r="H13" s="227">
        <v>8.5</v>
      </c>
    </row>
    <row r="14" spans="1:8" ht="15.75" x14ac:dyDescent="0.25">
      <c r="A14" s="288" t="s">
        <v>280</v>
      </c>
      <c r="B14" s="39" t="s">
        <v>386</v>
      </c>
      <c r="C14" s="291" t="s">
        <v>263</v>
      </c>
      <c r="D14" s="108">
        <f>D16+D17+D18</f>
        <v>123.8</v>
      </c>
      <c r="E14" s="108">
        <f>E16+E17+E18</f>
        <v>131.9</v>
      </c>
      <c r="F14" s="108">
        <f>F16+F17+F18</f>
        <v>122.60000000000001</v>
      </c>
      <c r="G14" s="108">
        <f>G16+G17+G18</f>
        <v>123.9</v>
      </c>
      <c r="H14" s="228">
        <f>H16+H17+H18</f>
        <v>125.1</v>
      </c>
    </row>
    <row r="15" spans="1:8" ht="15.75" x14ac:dyDescent="0.25">
      <c r="A15" s="289"/>
      <c r="B15" s="40" t="s">
        <v>227</v>
      </c>
      <c r="C15" s="292"/>
      <c r="D15" s="219"/>
      <c r="E15" s="220"/>
      <c r="F15" s="220"/>
      <c r="G15" s="220"/>
      <c r="H15" s="221"/>
    </row>
    <row r="16" spans="1:8" ht="15.75" x14ac:dyDescent="0.25">
      <c r="A16" s="289"/>
      <c r="B16" s="41" t="s">
        <v>281</v>
      </c>
      <c r="C16" s="292"/>
      <c r="D16" s="109">
        <v>85.6</v>
      </c>
      <c r="E16" s="109">
        <v>93.5</v>
      </c>
      <c r="F16" s="109">
        <v>84.4</v>
      </c>
      <c r="G16" s="229">
        <v>85.3</v>
      </c>
      <c r="H16" s="230">
        <v>86.1</v>
      </c>
    </row>
    <row r="17" spans="1:9" ht="15.75" x14ac:dyDescent="0.25">
      <c r="A17" s="289"/>
      <c r="B17" s="41" t="s">
        <v>279</v>
      </c>
      <c r="C17" s="292"/>
      <c r="D17" s="109">
        <v>19.899999999999999</v>
      </c>
      <c r="E17" s="109">
        <v>20</v>
      </c>
      <c r="F17" s="109">
        <v>19.5</v>
      </c>
      <c r="G17" s="229">
        <v>19.7</v>
      </c>
      <c r="H17" s="230">
        <v>19.899999999999999</v>
      </c>
    </row>
    <row r="18" spans="1:9" ht="16.5" thickBot="1" x14ac:dyDescent="0.3">
      <c r="A18" s="290"/>
      <c r="B18" s="42" t="s">
        <v>282</v>
      </c>
      <c r="C18" s="293"/>
      <c r="D18" s="225">
        <v>18.3</v>
      </c>
      <c r="E18" s="225">
        <v>18.399999999999999</v>
      </c>
      <c r="F18" s="225">
        <v>18.7</v>
      </c>
      <c r="G18" s="226">
        <v>18.899999999999999</v>
      </c>
      <c r="H18" s="227">
        <v>19.100000000000001</v>
      </c>
    </row>
    <row r="19" spans="1:9" ht="16.5" thickBot="1" x14ac:dyDescent="0.3">
      <c r="A19" s="43" t="s">
        <v>283</v>
      </c>
      <c r="B19" s="44" t="s">
        <v>284</v>
      </c>
      <c r="C19" s="45" t="s">
        <v>285</v>
      </c>
      <c r="D19" s="127">
        <v>914.62</v>
      </c>
      <c r="E19" s="110">
        <v>880</v>
      </c>
      <c r="F19" s="110">
        <v>950</v>
      </c>
      <c r="G19" s="128">
        <v>950</v>
      </c>
      <c r="H19" s="111">
        <v>950</v>
      </c>
      <c r="I19" s="46"/>
    </row>
    <row r="20" spans="1:9" ht="16.5" thickBot="1" x14ac:dyDescent="0.3">
      <c r="A20" s="43" t="s">
        <v>286</v>
      </c>
      <c r="B20" s="44" t="s">
        <v>287</v>
      </c>
      <c r="C20" s="45" t="s">
        <v>257</v>
      </c>
      <c r="D20" s="110">
        <v>249.4</v>
      </c>
      <c r="E20" s="110">
        <v>280.3</v>
      </c>
      <c r="F20" s="110">
        <v>280</v>
      </c>
      <c r="G20" s="128">
        <v>280</v>
      </c>
      <c r="H20" s="111">
        <v>280</v>
      </c>
    </row>
    <row r="21" spans="1:9" ht="16.5" thickBot="1" x14ac:dyDescent="0.3">
      <c r="A21" s="43" t="s">
        <v>288</v>
      </c>
      <c r="B21" s="44" t="s">
        <v>270</v>
      </c>
      <c r="C21" s="45" t="s">
        <v>257</v>
      </c>
      <c r="D21" s="110">
        <v>47</v>
      </c>
      <c r="E21" s="110">
        <v>38.700000000000003</v>
      </c>
      <c r="F21" s="110">
        <v>40.6</v>
      </c>
      <c r="G21" s="128">
        <v>40.6</v>
      </c>
      <c r="H21" s="111">
        <v>40.6</v>
      </c>
    </row>
    <row r="22" spans="1:9" ht="16.5" thickBot="1" x14ac:dyDescent="0.3">
      <c r="A22" s="43" t="s">
        <v>289</v>
      </c>
      <c r="B22" s="44" t="s">
        <v>420</v>
      </c>
      <c r="C22" s="45" t="s">
        <v>423</v>
      </c>
      <c r="D22" s="110">
        <v>307</v>
      </c>
      <c r="E22" s="110">
        <v>285</v>
      </c>
      <c r="F22" s="110">
        <v>380</v>
      </c>
      <c r="G22" s="128">
        <v>380</v>
      </c>
      <c r="H22" s="111">
        <v>380</v>
      </c>
    </row>
    <row r="23" spans="1:9" ht="16.5" thickBot="1" x14ac:dyDescent="0.3">
      <c r="A23" s="43" t="s">
        <v>424</v>
      </c>
      <c r="B23" s="44" t="s">
        <v>271</v>
      </c>
      <c r="C23" s="45" t="s">
        <v>257</v>
      </c>
      <c r="D23" s="110">
        <v>237.9</v>
      </c>
      <c r="E23" s="110">
        <v>231.6</v>
      </c>
      <c r="F23" s="110">
        <v>243.2</v>
      </c>
      <c r="G23" s="128">
        <v>243.2</v>
      </c>
      <c r="H23" s="111">
        <v>243.2</v>
      </c>
    </row>
    <row r="26" spans="1:9" ht="18.75" x14ac:dyDescent="0.3">
      <c r="A26" s="47"/>
    </row>
    <row r="27" spans="1:9" ht="18.75" x14ac:dyDescent="0.3">
      <c r="A27" s="47"/>
    </row>
    <row r="28" spans="1:9" ht="18.75" x14ac:dyDescent="0.3">
      <c r="A28" s="47"/>
    </row>
    <row r="29" spans="1:9" ht="15.75" x14ac:dyDescent="0.25">
      <c r="A29" s="48"/>
    </row>
  </sheetData>
  <mergeCells count="13">
    <mergeCell ref="A10:A13"/>
    <mergeCell ref="C10:C13"/>
    <mergeCell ref="A14:A18"/>
    <mergeCell ref="C14:C18"/>
    <mergeCell ref="E1:H1"/>
    <mergeCell ref="E2:H2"/>
    <mergeCell ref="A5:H5"/>
    <mergeCell ref="A8:A9"/>
    <mergeCell ref="B8:B9"/>
    <mergeCell ref="C8:C9"/>
    <mergeCell ref="D8:D9"/>
    <mergeCell ref="E8:E9"/>
    <mergeCell ref="F8:H8"/>
  </mergeCells>
  <pageMargins left="0.9055118110236221" right="0" top="0.74803149606299213" bottom="0.74803149606299213" header="0.31496062992125984" footer="0.31496062992125984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zoomScaleNormal="100" workbookViewId="0">
      <selection activeCell="I16" sqref="I16"/>
    </sheetView>
  </sheetViews>
  <sheetFormatPr defaultRowHeight="15" x14ac:dyDescent="0.25"/>
  <cols>
    <col min="1" max="1" width="38.5703125" style="36" customWidth="1"/>
    <col min="2" max="2" width="14" style="36" customWidth="1"/>
    <col min="3" max="3" width="15" style="36" customWidth="1"/>
    <col min="4" max="4" width="19.28515625" style="36" customWidth="1"/>
    <col min="5" max="5" width="14.140625" style="36" customWidth="1"/>
    <col min="6" max="256" width="9.140625" style="36"/>
    <col min="257" max="257" width="38.5703125" style="36" customWidth="1"/>
    <col min="258" max="258" width="14" style="36" customWidth="1"/>
    <col min="259" max="259" width="15" style="36" customWidth="1"/>
    <col min="260" max="260" width="19.28515625" style="36" customWidth="1"/>
    <col min="261" max="261" width="14.140625" style="36" customWidth="1"/>
    <col min="262" max="512" width="9.140625" style="36"/>
    <col min="513" max="513" width="38.5703125" style="36" customWidth="1"/>
    <col min="514" max="514" width="14" style="36" customWidth="1"/>
    <col min="515" max="515" width="15" style="36" customWidth="1"/>
    <col min="516" max="516" width="19.28515625" style="36" customWidth="1"/>
    <col min="517" max="517" width="14.140625" style="36" customWidth="1"/>
    <col min="518" max="768" width="9.140625" style="36"/>
    <col min="769" max="769" width="38.5703125" style="36" customWidth="1"/>
    <col min="770" max="770" width="14" style="36" customWidth="1"/>
    <col min="771" max="771" width="15" style="36" customWidth="1"/>
    <col min="772" max="772" width="19.28515625" style="36" customWidth="1"/>
    <col min="773" max="773" width="14.140625" style="36" customWidth="1"/>
    <col min="774" max="1024" width="9.140625" style="36"/>
    <col min="1025" max="1025" width="38.5703125" style="36" customWidth="1"/>
    <col min="1026" max="1026" width="14" style="36" customWidth="1"/>
    <col min="1027" max="1027" width="15" style="36" customWidth="1"/>
    <col min="1028" max="1028" width="19.28515625" style="36" customWidth="1"/>
    <col min="1029" max="1029" width="14.140625" style="36" customWidth="1"/>
    <col min="1030" max="1280" width="9.140625" style="36"/>
    <col min="1281" max="1281" width="38.5703125" style="36" customWidth="1"/>
    <col min="1282" max="1282" width="14" style="36" customWidth="1"/>
    <col min="1283" max="1283" width="15" style="36" customWidth="1"/>
    <col min="1284" max="1284" width="19.28515625" style="36" customWidth="1"/>
    <col min="1285" max="1285" width="14.140625" style="36" customWidth="1"/>
    <col min="1286" max="1536" width="9.140625" style="36"/>
    <col min="1537" max="1537" width="38.5703125" style="36" customWidth="1"/>
    <col min="1538" max="1538" width="14" style="36" customWidth="1"/>
    <col min="1539" max="1539" width="15" style="36" customWidth="1"/>
    <col min="1540" max="1540" width="19.28515625" style="36" customWidth="1"/>
    <col min="1541" max="1541" width="14.140625" style="36" customWidth="1"/>
    <col min="1542" max="1792" width="9.140625" style="36"/>
    <col min="1793" max="1793" width="38.5703125" style="36" customWidth="1"/>
    <col min="1794" max="1794" width="14" style="36" customWidth="1"/>
    <col min="1795" max="1795" width="15" style="36" customWidth="1"/>
    <col min="1796" max="1796" width="19.28515625" style="36" customWidth="1"/>
    <col min="1797" max="1797" width="14.140625" style="36" customWidth="1"/>
    <col min="1798" max="2048" width="9.140625" style="36"/>
    <col min="2049" max="2049" width="38.5703125" style="36" customWidth="1"/>
    <col min="2050" max="2050" width="14" style="36" customWidth="1"/>
    <col min="2051" max="2051" width="15" style="36" customWidth="1"/>
    <col min="2052" max="2052" width="19.28515625" style="36" customWidth="1"/>
    <col min="2053" max="2053" width="14.140625" style="36" customWidth="1"/>
    <col min="2054" max="2304" width="9.140625" style="36"/>
    <col min="2305" max="2305" width="38.5703125" style="36" customWidth="1"/>
    <col min="2306" max="2306" width="14" style="36" customWidth="1"/>
    <col min="2307" max="2307" width="15" style="36" customWidth="1"/>
    <col min="2308" max="2308" width="19.28515625" style="36" customWidth="1"/>
    <col min="2309" max="2309" width="14.140625" style="36" customWidth="1"/>
    <col min="2310" max="2560" width="9.140625" style="36"/>
    <col min="2561" max="2561" width="38.5703125" style="36" customWidth="1"/>
    <col min="2562" max="2562" width="14" style="36" customWidth="1"/>
    <col min="2563" max="2563" width="15" style="36" customWidth="1"/>
    <col min="2564" max="2564" width="19.28515625" style="36" customWidth="1"/>
    <col min="2565" max="2565" width="14.140625" style="36" customWidth="1"/>
    <col min="2566" max="2816" width="9.140625" style="36"/>
    <col min="2817" max="2817" width="38.5703125" style="36" customWidth="1"/>
    <col min="2818" max="2818" width="14" style="36" customWidth="1"/>
    <col min="2819" max="2819" width="15" style="36" customWidth="1"/>
    <col min="2820" max="2820" width="19.28515625" style="36" customWidth="1"/>
    <col min="2821" max="2821" width="14.140625" style="36" customWidth="1"/>
    <col min="2822" max="3072" width="9.140625" style="36"/>
    <col min="3073" max="3073" width="38.5703125" style="36" customWidth="1"/>
    <col min="3074" max="3074" width="14" style="36" customWidth="1"/>
    <col min="3075" max="3075" width="15" style="36" customWidth="1"/>
    <col min="3076" max="3076" width="19.28515625" style="36" customWidth="1"/>
    <col min="3077" max="3077" width="14.140625" style="36" customWidth="1"/>
    <col min="3078" max="3328" width="9.140625" style="36"/>
    <col min="3329" max="3329" width="38.5703125" style="36" customWidth="1"/>
    <col min="3330" max="3330" width="14" style="36" customWidth="1"/>
    <col min="3331" max="3331" width="15" style="36" customWidth="1"/>
    <col min="3332" max="3332" width="19.28515625" style="36" customWidth="1"/>
    <col min="3333" max="3333" width="14.140625" style="36" customWidth="1"/>
    <col min="3334" max="3584" width="9.140625" style="36"/>
    <col min="3585" max="3585" width="38.5703125" style="36" customWidth="1"/>
    <col min="3586" max="3586" width="14" style="36" customWidth="1"/>
    <col min="3587" max="3587" width="15" style="36" customWidth="1"/>
    <col min="3588" max="3588" width="19.28515625" style="36" customWidth="1"/>
    <col min="3589" max="3589" width="14.140625" style="36" customWidth="1"/>
    <col min="3590" max="3840" width="9.140625" style="36"/>
    <col min="3841" max="3841" width="38.5703125" style="36" customWidth="1"/>
    <col min="3842" max="3842" width="14" style="36" customWidth="1"/>
    <col min="3843" max="3843" width="15" style="36" customWidth="1"/>
    <col min="3844" max="3844" width="19.28515625" style="36" customWidth="1"/>
    <col min="3845" max="3845" width="14.140625" style="36" customWidth="1"/>
    <col min="3846" max="4096" width="9.140625" style="36"/>
    <col min="4097" max="4097" width="38.5703125" style="36" customWidth="1"/>
    <col min="4098" max="4098" width="14" style="36" customWidth="1"/>
    <col min="4099" max="4099" width="15" style="36" customWidth="1"/>
    <col min="4100" max="4100" width="19.28515625" style="36" customWidth="1"/>
    <col min="4101" max="4101" width="14.140625" style="36" customWidth="1"/>
    <col min="4102" max="4352" width="9.140625" style="36"/>
    <col min="4353" max="4353" width="38.5703125" style="36" customWidth="1"/>
    <col min="4354" max="4354" width="14" style="36" customWidth="1"/>
    <col min="4355" max="4355" width="15" style="36" customWidth="1"/>
    <col min="4356" max="4356" width="19.28515625" style="36" customWidth="1"/>
    <col min="4357" max="4357" width="14.140625" style="36" customWidth="1"/>
    <col min="4358" max="4608" width="9.140625" style="36"/>
    <col min="4609" max="4609" width="38.5703125" style="36" customWidth="1"/>
    <col min="4610" max="4610" width="14" style="36" customWidth="1"/>
    <col min="4611" max="4611" width="15" style="36" customWidth="1"/>
    <col min="4612" max="4612" width="19.28515625" style="36" customWidth="1"/>
    <col min="4613" max="4613" width="14.140625" style="36" customWidth="1"/>
    <col min="4614" max="4864" width="9.140625" style="36"/>
    <col min="4865" max="4865" width="38.5703125" style="36" customWidth="1"/>
    <col min="4866" max="4866" width="14" style="36" customWidth="1"/>
    <col min="4867" max="4867" width="15" style="36" customWidth="1"/>
    <col min="4868" max="4868" width="19.28515625" style="36" customWidth="1"/>
    <col min="4869" max="4869" width="14.140625" style="36" customWidth="1"/>
    <col min="4870" max="5120" width="9.140625" style="36"/>
    <col min="5121" max="5121" width="38.5703125" style="36" customWidth="1"/>
    <col min="5122" max="5122" width="14" style="36" customWidth="1"/>
    <col min="5123" max="5123" width="15" style="36" customWidth="1"/>
    <col min="5124" max="5124" width="19.28515625" style="36" customWidth="1"/>
    <col min="5125" max="5125" width="14.140625" style="36" customWidth="1"/>
    <col min="5126" max="5376" width="9.140625" style="36"/>
    <col min="5377" max="5377" width="38.5703125" style="36" customWidth="1"/>
    <col min="5378" max="5378" width="14" style="36" customWidth="1"/>
    <col min="5379" max="5379" width="15" style="36" customWidth="1"/>
    <col min="5380" max="5380" width="19.28515625" style="36" customWidth="1"/>
    <col min="5381" max="5381" width="14.140625" style="36" customWidth="1"/>
    <col min="5382" max="5632" width="9.140625" style="36"/>
    <col min="5633" max="5633" width="38.5703125" style="36" customWidth="1"/>
    <col min="5634" max="5634" width="14" style="36" customWidth="1"/>
    <col min="5635" max="5635" width="15" style="36" customWidth="1"/>
    <col min="5636" max="5636" width="19.28515625" style="36" customWidth="1"/>
    <col min="5637" max="5637" width="14.140625" style="36" customWidth="1"/>
    <col min="5638" max="5888" width="9.140625" style="36"/>
    <col min="5889" max="5889" width="38.5703125" style="36" customWidth="1"/>
    <col min="5890" max="5890" width="14" style="36" customWidth="1"/>
    <col min="5891" max="5891" width="15" style="36" customWidth="1"/>
    <col min="5892" max="5892" width="19.28515625" style="36" customWidth="1"/>
    <col min="5893" max="5893" width="14.140625" style="36" customWidth="1"/>
    <col min="5894" max="6144" width="9.140625" style="36"/>
    <col min="6145" max="6145" width="38.5703125" style="36" customWidth="1"/>
    <col min="6146" max="6146" width="14" style="36" customWidth="1"/>
    <col min="6147" max="6147" width="15" style="36" customWidth="1"/>
    <col min="6148" max="6148" width="19.28515625" style="36" customWidth="1"/>
    <col min="6149" max="6149" width="14.140625" style="36" customWidth="1"/>
    <col min="6150" max="6400" width="9.140625" style="36"/>
    <col min="6401" max="6401" width="38.5703125" style="36" customWidth="1"/>
    <col min="6402" max="6402" width="14" style="36" customWidth="1"/>
    <col min="6403" max="6403" width="15" style="36" customWidth="1"/>
    <col min="6404" max="6404" width="19.28515625" style="36" customWidth="1"/>
    <col min="6405" max="6405" width="14.140625" style="36" customWidth="1"/>
    <col min="6406" max="6656" width="9.140625" style="36"/>
    <col min="6657" max="6657" width="38.5703125" style="36" customWidth="1"/>
    <col min="6658" max="6658" width="14" style="36" customWidth="1"/>
    <col min="6659" max="6659" width="15" style="36" customWidth="1"/>
    <col min="6660" max="6660" width="19.28515625" style="36" customWidth="1"/>
    <col min="6661" max="6661" width="14.140625" style="36" customWidth="1"/>
    <col min="6662" max="6912" width="9.140625" style="36"/>
    <col min="6913" max="6913" width="38.5703125" style="36" customWidth="1"/>
    <col min="6914" max="6914" width="14" style="36" customWidth="1"/>
    <col min="6915" max="6915" width="15" style="36" customWidth="1"/>
    <col min="6916" max="6916" width="19.28515625" style="36" customWidth="1"/>
    <col min="6917" max="6917" width="14.140625" style="36" customWidth="1"/>
    <col min="6918" max="7168" width="9.140625" style="36"/>
    <col min="7169" max="7169" width="38.5703125" style="36" customWidth="1"/>
    <col min="7170" max="7170" width="14" style="36" customWidth="1"/>
    <col min="7171" max="7171" width="15" style="36" customWidth="1"/>
    <col min="7172" max="7172" width="19.28515625" style="36" customWidth="1"/>
    <col min="7173" max="7173" width="14.140625" style="36" customWidth="1"/>
    <col min="7174" max="7424" width="9.140625" style="36"/>
    <col min="7425" max="7425" width="38.5703125" style="36" customWidth="1"/>
    <col min="7426" max="7426" width="14" style="36" customWidth="1"/>
    <col min="7427" max="7427" width="15" style="36" customWidth="1"/>
    <col min="7428" max="7428" width="19.28515625" style="36" customWidth="1"/>
    <col min="7429" max="7429" width="14.140625" style="36" customWidth="1"/>
    <col min="7430" max="7680" width="9.140625" style="36"/>
    <col min="7681" max="7681" width="38.5703125" style="36" customWidth="1"/>
    <col min="7682" max="7682" width="14" style="36" customWidth="1"/>
    <col min="7683" max="7683" width="15" style="36" customWidth="1"/>
    <col min="7684" max="7684" width="19.28515625" style="36" customWidth="1"/>
    <col min="7685" max="7685" width="14.140625" style="36" customWidth="1"/>
    <col min="7686" max="7936" width="9.140625" style="36"/>
    <col min="7937" max="7937" width="38.5703125" style="36" customWidth="1"/>
    <col min="7938" max="7938" width="14" style="36" customWidth="1"/>
    <col min="7939" max="7939" width="15" style="36" customWidth="1"/>
    <col min="7940" max="7940" width="19.28515625" style="36" customWidth="1"/>
    <col min="7941" max="7941" width="14.140625" style="36" customWidth="1"/>
    <col min="7942" max="8192" width="9.140625" style="36"/>
    <col min="8193" max="8193" width="38.5703125" style="36" customWidth="1"/>
    <col min="8194" max="8194" width="14" style="36" customWidth="1"/>
    <col min="8195" max="8195" width="15" style="36" customWidth="1"/>
    <col min="8196" max="8196" width="19.28515625" style="36" customWidth="1"/>
    <col min="8197" max="8197" width="14.140625" style="36" customWidth="1"/>
    <col min="8198" max="8448" width="9.140625" style="36"/>
    <col min="8449" max="8449" width="38.5703125" style="36" customWidth="1"/>
    <col min="8450" max="8450" width="14" style="36" customWidth="1"/>
    <col min="8451" max="8451" width="15" style="36" customWidth="1"/>
    <col min="8452" max="8452" width="19.28515625" style="36" customWidth="1"/>
    <col min="8453" max="8453" width="14.140625" style="36" customWidth="1"/>
    <col min="8454" max="8704" width="9.140625" style="36"/>
    <col min="8705" max="8705" width="38.5703125" style="36" customWidth="1"/>
    <col min="8706" max="8706" width="14" style="36" customWidth="1"/>
    <col min="8707" max="8707" width="15" style="36" customWidth="1"/>
    <col min="8708" max="8708" width="19.28515625" style="36" customWidth="1"/>
    <col min="8709" max="8709" width="14.140625" style="36" customWidth="1"/>
    <col min="8710" max="8960" width="9.140625" style="36"/>
    <col min="8961" max="8961" width="38.5703125" style="36" customWidth="1"/>
    <col min="8962" max="8962" width="14" style="36" customWidth="1"/>
    <col min="8963" max="8963" width="15" style="36" customWidth="1"/>
    <col min="8964" max="8964" width="19.28515625" style="36" customWidth="1"/>
    <col min="8965" max="8965" width="14.140625" style="36" customWidth="1"/>
    <col min="8966" max="9216" width="9.140625" style="36"/>
    <col min="9217" max="9217" width="38.5703125" style="36" customWidth="1"/>
    <col min="9218" max="9218" width="14" style="36" customWidth="1"/>
    <col min="9219" max="9219" width="15" style="36" customWidth="1"/>
    <col min="9220" max="9220" width="19.28515625" style="36" customWidth="1"/>
    <col min="9221" max="9221" width="14.140625" style="36" customWidth="1"/>
    <col min="9222" max="9472" width="9.140625" style="36"/>
    <col min="9473" max="9473" width="38.5703125" style="36" customWidth="1"/>
    <col min="9474" max="9474" width="14" style="36" customWidth="1"/>
    <col min="9475" max="9475" width="15" style="36" customWidth="1"/>
    <col min="9476" max="9476" width="19.28515625" style="36" customWidth="1"/>
    <col min="9477" max="9477" width="14.140625" style="36" customWidth="1"/>
    <col min="9478" max="9728" width="9.140625" style="36"/>
    <col min="9729" max="9729" width="38.5703125" style="36" customWidth="1"/>
    <col min="9730" max="9730" width="14" style="36" customWidth="1"/>
    <col min="9731" max="9731" width="15" style="36" customWidth="1"/>
    <col min="9732" max="9732" width="19.28515625" style="36" customWidth="1"/>
    <col min="9733" max="9733" width="14.140625" style="36" customWidth="1"/>
    <col min="9734" max="9984" width="9.140625" style="36"/>
    <col min="9985" max="9985" width="38.5703125" style="36" customWidth="1"/>
    <col min="9986" max="9986" width="14" style="36" customWidth="1"/>
    <col min="9987" max="9987" width="15" style="36" customWidth="1"/>
    <col min="9988" max="9988" width="19.28515625" style="36" customWidth="1"/>
    <col min="9989" max="9989" width="14.140625" style="36" customWidth="1"/>
    <col min="9990" max="10240" width="9.140625" style="36"/>
    <col min="10241" max="10241" width="38.5703125" style="36" customWidth="1"/>
    <col min="10242" max="10242" width="14" style="36" customWidth="1"/>
    <col min="10243" max="10243" width="15" style="36" customWidth="1"/>
    <col min="10244" max="10244" width="19.28515625" style="36" customWidth="1"/>
    <col min="10245" max="10245" width="14.140625" style="36" customWidth="1"/>
    <col min="10246" max="10496" width="9.140625" style="36"/>
    <col min="10497" max="10497" width="38.5703125" style="36" customWidth="1"/>
    <col min="10498" max="10498" width="14" style="36" customWidth="1"/>
    <col min="10499" max="10499" width="15" style="36" customWidth="1"/>
    <col min="10500" max="10500" width="19.28515625" style="36" customWidth="1"/>
    <col min="10501" max="10501" width="14.140625" style="36" customWidth="1"/>
    <col min="10502" max="10752" width="9.140625" style="36"/>
    <col min="10753" max="10753" width="38.5703125" style="36" customWidth="1"/>
    <col min="10754" max="10754" width="14" style="36" customWidth="1"/>
    <col min="10755" max="10755" width="15" style="36" customWidth="1"/>
    <col min="10756" max="10756" width="19.28515625" style="36" customWidth="1"/>
    <col min="10757" max="10757" width="14.140625" style="36" customWidth="1"/>
    <col min="10758" max="11008" width="9.140625" style="36"/>
    <col min="11009" max="11009" width="38.5703125" style="36" customWidth="1"/>
    <col min="11010" max="11010" width="14" style="36" customWidth="1"/>
    <col min="11011" max="11011" width="15" style="36" customWidth="1"/>
    <col min="11012" max="11012" width="19.28515625" style="36" customWidth="1"/>
    <col min="11013" max="11013" width="14.140625" style="36" customWidth="1"/>
    <col min="11014" max="11264" width="9.140625" style="36"/>
    <col min="11265" max="11265" width="38.5703125" style="36" customWidth="1"/>
    <col min="11266" max="11266" width="14" style="36" customWidth="1"/>
    <col min="11267" max="11267" width="15" style="36" customWidth="1"/>
    <col min="11268" max="11268" width="19.28515625" style="36" customWidth="1"/>
    <col min="11269" max="11269" width="14.140625" style="36" customWidth="1"/>
    <col min="11270" max="11520" width="9.140625" style="36"/>
    <col min="11521" max="11521" width="38.5703125" style="36" customWidth="1"/>
    <col min="11522" max="11522" width="14" style="36" customWidth="1"/>
    <col min="11523" max="11523" width="15" style="36" customWidth="1"/>
    <col min="11524" max="11524" width="19.28515625" style="36" customWidth="1"/>
    <col min="11525" max="11525" width="14.140625" style="36" customWidth="1"/>
    <col min="11526" max="11776" width="9.140625" style="36"/>
    <col min="11777" max="11777" width="38.5703125" style="36" customWidth="1"/>
    <col min="11778" max="11778" width="14" style="36" customWidth="1"/>
    <col min="11779" max="11779" width="15" style="36" customWidth="1"/>
    <col min="11780" max="11780" width="19.28515625" style="36" customWidth="1"/>
    <col min="11781" max="11781" width="14.140625" style="36" customWidth="1"/>
    <col min="11782" max="12032" width="9.140625" style="36"/>
    <col min="12033" max="12033" width="38.5703125" style="36" customWidth="1"/>
    <col min="12034" max="12034" width="14" style="36" customWidth="1"/>
    <col min="12035" max="12035" width="15" style="36" customWidth="1"/>
    <col min="12036" max="12036" width="19.28515625" style="36" customWidth="1"/>
    <col min="12037" max="12037" width="14.140625" style="36" customWidth="1"/>
    <col min="12038" max="12288" width="9.140625" style="36"/>
    <col min="12289" max="12289" width="38.5703125" style="36" customWidth="1"/>
    <col min="12290" max="12290" width="14" style="36" customWidth="1"/>
    <col min="12291" max="12291" width="15" style="36" customWidth="1"/>
    <col min="12292" max="12292" width="19.28515625" style="36" customWidth="1"/>
    <col min="12293" max="12293" width="14.140625" style="36" customWidth="1"/>
    <col min="12294" max="12544" width="9.140625" style="36"/>
    <col min="12545" max="12545" width="38.5703125" style="36" customWidth="1"/>
    <col min="12546" max="12546" width="14" style="36" customWidth="1"/>
    <col min="12547" max="12547" width="15" style="36" customWidth="1"/>
    <col min="12548" max="12548" width="19.28515625" style="36" customWidth="1"/>
    <col min="12549" max="12549" width="14.140625" style="36" customWidth="1"/>
    <col min="12550" max="12800" width="9.140625" style="36"/>
    <col min="12801" max="12801" width="38.5703125" style="36" customWidth="1"/>
    <col min="12802" max="12802" width="14" style="36" customWidth="1"/>
    <col min="12803" max="12803" width="15" style="36" customWidth="1"/>
    <col min="12804" max="12804" width="19.28515625" style="36" customWidth="1"/>
    <col min="12805" max="12805" width="14.140625" style="36" customWidth="1"/>
    <col min="12806" max="13056" width="9.140625" style="36"/>
    <col min="13057" max="13057" width="38.5703125" style="36" customWidth="1"/>
    <col min="13058" max="13058" width="14" style="36" customWidth="1"/>
    <col min="13059" max="13059" width="15" style="36" customWidth="1"/>
    <col min="13060" max="13060" width="19.28515625" style="36" customWidth="1"/>
    <col min="13061" max="13061" width="14.140625" style="36" customWidth="1"/>
    <col min="13062" max="13312" width="9.140625" style="36"/>
    <col min="13313" max="13313" width="38.5703125" style="36" customWidth="1"/>
    <col min="13314" max="13314" width="14" style="36" customWidth="1"/>
    <col min="13315" max="13315" width="15" style="36" customWidth="1"/>
    <col min="13316" max="13316" width="19.28515625" style="36" customWidth="1"/>
    <col min="13317" max="13317" width="14.140625" style="36" customWidth="1"/>
    <col min="13318" max="13568" width="9.140625" style="36"/>
    <col min="13569" max="13569" width="38.5703125" style="36" customWidth="1"/>
    <col min="13570" max="13570" width="14" style="36" customWidth="1"/>
    <col min="13571" max="13571" width="15" style="36" customWidth="1"/>
    <col min="13572" max="13572" width="19.28515625" style="36" customWidth="1"/>
    <col min="13573" max="13573" width="14.140625" style="36" customWidth="1"/>
    <col min="13574" max="13824" width="9.140625" style="36"/>
    <col min="13825" max="13825" width="38.5703125" style="36" customWidth="1"/>
    <col min="13826" max="13826" width="14" style="36" customWidth="1"/>
    <col min="13827" max="13827" width="15" style="36" customWidth="1"/>
    <col min="13828" max="13828" width="19.28515625" style="36" customWidth="1"/>
    <col min="13829" max="13829" width="14.140625" style="36" customWidth="1"/>
    <col min="13830" max="14080" width="9.140625" style="36"/>
    <col min="14081" max="14081" width="38.5703125" style="36" customWidth="1"/>
    <col min="14082" max="14082" width="14" style="36" customWidth="1"/>
    <col min="14083" max="14083" width="15" style="36" customWidth="1"/>
    <col min="14084" max="14084" width="19.28515625" style="36" customWidth="1"/>
    <col min="14085" max="14085" width="14.140625" style="36" customWidth="1"/>
    <col min="14086" max="14336" width="9.140625" style="36"/>
    <col min="14337" max="14337" width="38.5703125" style="36" customWidth="1"/>
    <col min="14338" max="14338" width="14" style="36" customWidth="1"/>
    <col min="14339" max="14339" width="15" style="36" customWidth="1"/>
    <col min="14340" max="14340" width="19.28515625" style="36" customWidth="1"/>
    <col min="14341" max="14341" width="14.140625" style="36" customWidth="1"/>
    <col min="14342" max="14592" width="9.140625" style="36"/>
    <col min="14593" max="14593" width="38.5703125" style="36" customWidth="1"/>
    <col min="14594" max="14594" width="14" style="36" customWidth="1"/>
    <col min="14595" max="14595" width="15" style="36" customWidth="1"/>
    <col min="14596" max="14596" width="19.28515625" style="36" customWidth="1"/>
    <col min="14597" max="14597" width="14.140625" style="36" customWidth="1"/>
    <col min="14598" max="14848" width="9.140625" style="36"/>
    <col min="14849" max="14849" width="38.5703125" style="36" customWidth="1"/>
    <col min="14850" max="14850" width="14" style="36" customWidth="1"/>
    <col min="14851" max="14851" width="15" style="36" customWidth="1"/>
    <col min="14852" max="14852" width="19.28515625" style="36" customWidth="1"/>
    <col min="14853" max="14853" width="14.140625" style="36" customWidth="1"/>
    <col min="14854" max="15104" width="9.140625" style="36"/>
    <col min="15105" max="15105" width="38.5703125" style="36" customWidth="1"/>
    <col min="15106" max="15106" width="14" style="36" customWidth="1"/>
    <col min="15107" max="15107" width="15" style="36" customWidth="1"/>
    <col min="15108" max="15108" width="19.28515625" style="36" customWidth="1"/>
    <col min="15109" max="15109" width="14.140625" style="36" customWidth="1"/>
    <col min="15110" max="15360" width="9.140625" style="36"/>
    <col min="15361" max="15361" width="38.5703125" style="36" customWidth="1"/>
    <col min="15362" max="15362" width="14" style="36" customWidth="1"/>
    <col min="15363" max="15363" width="15" style="36" customWidth="1"/>
    <col min="15364" max="15364" width="19.28515625" style="36" customWidth="1"/>
    <col min="15365" max="15365" width="14.140625" style="36" customWidth="1"/>
    <col min="15366" max="15616" width="9.140625" style="36"/>
    <col min="15617" max="15617" width="38.5703125" style="36" customWidth="1"/>
    <col min="15618" max="15618" width="14" style="36" customWidth="1"/>
    <col min="15619" max="15619" width="15" style="36" customWidth="1"/>
    <col min="15620" max="15620" width="19.28515625" style="36" customWidth="1"/>
    <col min="15621" max="15621" width="14.140625" style="36" customWidth="1"/>
    <col min="15622" max="15872" width="9.140625" style="36"/>
    <col min="15873" max="15873" width="38.5703125" style="36" customWidth="1"/>
    <col min="15874" max="15874" width="14" style="36" customWidth="1"/>
    <col min="15875" max="15875" width="15" style="36" customWidth="1"/>
    <col min="15876" max="15876" width="19.28515625" style="36" customWidth="1"/>
    <col min="15877" max="15877" width="14.140625" style="36" customWidth="1"/>
    <col min="15878" max="16128" width="9.140625" style="36"/>
    <col min="16129" max="16129" width="38.5703125" style="36" customWidth="1"/>
    <col min="16130" max="16130" width="14" style="36" customWidth="1"/>
    <col min="16131" max="16131" width="15" style="36" customWidth="1"/>
    <col min="16132" max="16132" width="19.28515625" style="36" customWidth="1"/>
    <col min="16133" max="16133" width="14.140625" style="36" customWidth="1"/>
    <col min="16134" max="16384" width="9.140625" style="36"/>
  </cols>
  <sheetData>
    <row r="1" spans="1:8" x14ac:dyDescent="0.25">
      <c r="D1" s="294" t="s">
        <v>290</v>
      </c>
      <c r="E1" s="294"/>
    </row>
    <row r="2" spans="1:8" ht="29.25" customHeight="1" x14ac:dyDescent="0.25">
      <c r="C2" s="295" t="s">
        <v>565</v>
      </c>
      <c r="D2" s="295"/>
      <c r="E2" s="295"/>
    </row>
    <row r="4" spans="1:8" ht="47.25" customHeight="1" x14ac:dyDescent="0.3">
      <c r="A4" s="304" t="s">
        <v>570</v>
      </c>
      <c r="B4" s="304"/>
      <c r="C4" s="304"/>
      <c r="D4" s="304"/>
      <c r="E4" s="304"/>
    </row>
    <row r="7" spans="1:8" ht="56.25" x14ac:dyDescent="0.25">
      <c r="A7" s="49" t="s">
        <v>291</v>
      </c>
      <c r="B7" s="49" t="s">
        <v>273</v>
      </c>
      <c r="C7" s="49" t="s">
        <v>571</v>
      </c>
      <c r="D7" s="49" t="s">
        <v>572</v>
      </c>
      <c r="E7" s="49" t="s">
        <v>529</v>
      </c>
    </row>
    <row r="8" spans="1:8" ht="21.75" customHeight="1" x14ac:dyDescent="0.25">
      <c r="A8" s="50" t="s">
        <v>293</v>
      </c>
      <c r="B8" s="51" t="s">
        <v>292</v>
      </c>
      <c r="C8" s="129">
        <v>98.6</v>
      </c>
      <c r="D8" s="129">
        <v>96</v>
      </c>
      <c r="E8" s="129">
        <v>100.8</v>
      </c>
    </row>
    <row r="9" spans="1:8" ht="18.75" x14ac:dyDescent="0.25">
      <c r="A9" s="50" t="s">
        <v>294</v>
      </c>
      <c r="B9" s="51" t="s">
        <v>292</v>
      </c>
      <c r="C9" s="129">
        <v>131.19999999999999</v>
      </c>
      <c r="D9" s="129">
        <v>123.5</v>
      </c>
      <c r="E9" s="129">
        <v>129.6</v>
      </c>
    </row>
    <row r="10" spans="1:8" ht="25.5" customHeight="1" x14ac:dyDescent="0.25">
      <c r="A10" s="50" t="s">
        <v>295</v>
      </c>
      <c r="B10" s="51" t="s">
        <v>292</v>
      </c>
      <c r="C10" s="129">
        <v>8.1</v>
      </c>
      <c r="D10" s="129">
        <v>12.1</v>
      </c>
      <c r="E10" s="129">
        <v>12.8</v>
      </c>
    </row>
    <row r="11" spans="1:8" ht="19.5" x14ac:dyDescent="0.25">
      <c r="A11" s="52" t="s">
        <v>267</v>
      </c>
      <c r="B11" s="49" t="s">
        <v>292</v>
      </c>
      <c r="C11" s="130">
        <f>C8+C9+C10</f>
        <v>237.89999999999998</v>
      </c>
      <c r="D11" s="130">
        <f>D8+D9+D10</f>
        <v>231.6</v>
      </c>
      <c r="E11" s="130">
        <f>E8+E9+E10</f>
        <v>243.2</v>
      </c>
      <c r="H11" s="131"/>
    </row>
    <row r="14" spans="1:8" ht="41.25" customHeight="1" x14ac:dyDescent="0.3">
      <c r="A14" s="304" t="s">
        <v>573</v>
      </c>
      <c r="B14" s="304"/>
      <c r="C14" s="304"/>
      <c r="D14" s="304"/>
      <c r="E14" s="304"/>
    </row>
    <row r="16" spans="1:8" ht="56.25" x14ac:dyDescent="0.25">
      <c r="A16" s="49" t="s">
        <v>425</v>
      </c>
      <c r="B16" s="49" t="s">
        <v>273</v>
      </c>
      <c r="C16" s="49" t="s">
        <v>571</v>
      </c>
      <c r="D16" s="49" t="s">
        <v>572</v>
      </c>
      <c r="E16" s="49" t="s">
        <v>529</v>
      </c>
    </row>
    <row r="17" spans="1:5" ht="18.75" x14ac:dyDescent="0.25">
      <c r="A17" s="50" t="s">
        <v>295</v>
      </c>
      <c r="B17" s="51" t="s">
        <v>292</v>
      </c>
      <c r="C17" s="129">
        <v>47</v>
      </c>
      <c r="D17" s="129">
        <v>38.700000000000003</v>
      </c>
      <c r="E17" s="129">
        <v>40.6</v>
      </c>
    </row>
  </sheetData>
  <mergeCells count="4">
    <mergeCell ref="D1:E1"/>
    <mergeCell ref="C2:E2"/>
    <mergeCell ref="A4:E4"/>
    <mergeCell ref="A14:E14"/>
  </mergeCells>
  <pageMargins left="0.9055118110236221" right="0.11811023622047245" top="0.74803149606299213" bottom="0.74803149606299213" header="0.31496062992125984" footer="0.31496062992125984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zoomScaleNormal="100" workbookViewId="0">
      <selection activeCell="K28" sqref="K28"/>
    </sheetView>
  </sheetViews>
  <sheetFormatPr defaultRowHeight="15" x14ac:dyDescent="0.25"/>
  <cols>
    <col min="1" max="1" width="26.42578125" style="36" customWidth="1"/>
    <col min="2" max="2" width="12.7109375" style="36" customWidth="1"/>
    <col min="3" max="3" width="6.85546875" style="36" bestFit="1" customWidth="1"/>
    <col min="4" max="4" width="9.140625" style="36" customWidth="1"/>
    <col min="5" max="5" width="12.7109375" style="36" customWidth="1"/>
    <col min="6" max="6" width="7" style="36" bestFit="1" customWidth="1"/>
    <col min="7" max="7" width="11.28515625" style="36" customWidth="1"/>
    <col min="8" max="8" width="12.7109375" style="36" customWidth="1"/>
    <col min="9" max="9" width="9.42578125" style="36" bestFit="1" customWidth="1"/>
    <col min="10" max="10" width="10.5703125" style="36" customWidth="1"/>
    <col min="11" max="11" width="12.7109375" style="36" customWidth="1"/>
    <col min="12" max="256" width="9.140625" style="36"/>
    <col min="257" max="257" width="26.42578125" style="36" customWidth="1"/>
    <col min="258" max="258" width="12.7109375" style="36" customWidth="1"/>
    <col min="259" max="259" width="6.85546875" style="36" bestFit="1" customWidth="1"/>
    <col min="260" max="260" width="9.140625" style="36" customWidth="1"/>
    <col min="261" max="261" width="12.7109375" style="36" customWidth="1"/>
    <col min="262" max="262" width="7" style="36" bestFit="1" customWidth="1"/>
    <col min="263" max="263" width="11.28515625" style="36" customWidth="1"/>
    <col min="264" max="264" width="12.7109375" style="36" customWidth="1"/>
    <col min="265" max="265" width="9.42578125" style="36" bestFit="1" customWidth="1"/>
    <col min="266" max="266" width="10.5703125" style="36" customWidth="1"/>
    <col min="267" max="267" width="12.7109375" style="36" customWidth="1"/>
    <col min="268" max="512" width="9.140625" style="36"/>
    <col min="513" max="513" width="26.42578125" style="36" customWidth="1"/>
    <col min="514" max="514" width="12.7109375" style="36" customWidth="1"/>
    <col min="515" max="515" width="6.85546875" style="36" bestFit="1" customWidth="1"/>
    <col min="516" max="516" width="9.140625" style="36" customWidth="1"/>
    <col min="517" max="517" width="12.7109375" style="36" customWidth="1"/>
    <col min="518" max="518" width="7" style="36" bestFit="1" customWidth="1"/>
    <col min="519" max="519" width="11.28515625" style="36" customWidth="1"/>
    <col min="520" max="520" width="12.7109375" style="36" customWidth="1"/>
    <col min="521" max="521" width="9.42578125" style="36" bestFit="1" customWidth="1"/>
    <col min="522" max="522" width="10.5703125" style="36" customWidth="1"/>
    <col min="523" max="523" width="12.7109375" style="36" customWidth="1"/>
    <col min="524" max="768" width="9.140625" style="36"/>
    <col min="769" max="769" width="26.42578125" style="36" customWidth="1"/>
    <col min="770" max="770" width="12.7109375" style="36" customWidth="1"/>
    <col min="771" max="771" width="6.85546875" style="36" bestFit="1" customWidth="1"/>
    <col min="772" max="772" width="9.140625" style="36" customWidth="1"/>
    <col min="773" max="773" width="12.7109375" style="36" customWidth="1"/>
    <col min="774" max="774" width="7" style="36" bestFit="1" customWidth="1"/>
    <col min="775" max="775" width="11.28515625" style="36" customWidth="1"/>
    <col min="776" max="776" width="12.7109375" style="36" customWidth="1"/>
    <col min="777" max="777" width="9.42578125" style="36" bestFit="1" customWidth="1"/>
    <col min="778" max="778" width="10.5703125" style="36" customWidth="1"/>
    <col min="779" max="779" width="12.7109375" style="36" customWidth="1"/>
    <col min="780" max="1024" width="9.140625" style="36"/>
    <col min="1025" max="1025" width="26.42578125" style="36" customWidth="1"/>
    <col min="1026" max="1026" width="12.7109375" style="36" customWidth="1"/>
    <col min="1027" max="1027" width="6.85546875" style="36" bestFit="1" customWidth="1"/>
    <col min="1028" max="1028" width="9.140625" style="36" customWidth="1"/>
    <col min="1029" max="1029" width="12.7109375" style="36" customWidth="1"/>
    <col min="1030" max="1030" width="7" style="36" bestFit="1" customWidth="1"/>
    <col min="1031" max="1031" width="11.28515625" style="36" customWidth="1"/>
    <col min="1032" max="1032" width="12.7109375" style="36" customWidth="1"/>
    <col min="1033" max="1033" width="9.42578125" style="36" bestFit="1" customWidth="1"/>
    <col min="1034" max="1034" width="10.5703125" style="36" customWidth="1"/>
    <col min="1035" max="1035" width="12.7109375" style="36" customWidth="1"/>
    <col min="1036" max="1280" width="9.140625" style="36"/>
    <col min="1281" max="1281" width="26.42578125" style="36" customWidth="1"/>
    <col min="1282" max="1282" width="12.7109375" style="36" customWidth="1"/>
    <col min="1283" max="1283" width="6.85546875" style="36" bestFit="1" customWidth="1"/>
    <col min="1284" max="1284" width="9.140625" style="36" customWidth="1"/>
    <col min="1285" max="1285" width="12.7109375" style="36" customWidth="1"/>
    <col min="1286" max="1286" width="7" style="36" bestFit="1" customWidth="1"/>
    <col min="1287" max="1287" width="11.28515625" style="36" customWidth="1"/>
    <col min="1288" max="1288" width="12.7109375" style="36" customWidth="1"/>
    <col min="1289" max="1289" width="9.42578125" style="36" bestFit="1" customWidth="1"/>
    <col min="1290" max="1290" width="10.5703125" style="36" customWidth="1"/>
    <col min="1291" max="1291" width="12.7109375" style="36" customWidth="1"/>
    <col min="1292" max="1536" width="9.140625" style="36"/>
    <col min="1537" max="1537" width="26.42578125" style="36" customWidth="1"/>
    <col min="1538" max="1538" width="12.7109375" style="36" customWidth="1"/>
    <col min="1539" max="1539" width="6.85546875" style="36" bestFit="1" customWidth="1"/>
    <col min="1540" max="1540" width="9.140625" style="36" customWidth="1"/>
    <col min="1541" max="1541" width="12.7109375" style="36" customWidth="1"/>
    <col min="1542" max="1542" width="7" style="36" bestFit="1" customWidth="1"/>
    <col min="1543" max="1543" width="11.28515625" style="36" customWidth="1"/>
    <col min="1544" max="1544" width="12.7109375" style="36" customWidth="1"/>
    <col min="1545" max="1545" width="9.42578125" style="36" bestFit="1" customWidth="1"/>
    <col min="1546" max="1546" width="10.5703125" style="36" customWidth="1"/>
    <col min="1547" max="1547" width="12.7109375" style="36" customWidth="1"/>
    <col min="1548" max="1792" width="9.140625" style="36"/>
    <col min="1793" max="1793" width="26.42578125" style="36" customWidth="1"/>
    <col min="1794" max="1794" width="12.7109375" style="36" customWidth="1"/>
    <col min="1795" max="1795" width="6.85546875" style="36" bestFit="1" customWidth="1"/>
    <col min="1796" max="1796" width="9.140625" style="36" customWidth="1"/>
    <col min="1797" max="1797" width="12.7109375" style="36" customWidth="1"/>
    <col min="1798" max="1798" width="7" style="36" bestFit="1" customWidth="1"/>
    <col min="1799" max="1799" width="11.28515625" style="36" customWidth="1"/>
    <col min="1800" max="1800" width="12.7109375" style="36" customWidth="1"/>
    <col min="1801" max="1801" width="9.42578125" style="36" bestFit="1" customWidth="1"/>
    <col min="1802" max="1802" width="10.5703125" style="36" customWidth="1"/>
    <col min="1803" max="1803" width="12.7109375" style="36" customWidth="1"/>
    <col min="1804" max="2048" width="9.140625" style="36"/>
    <col min="2049" max="2049" width="26.42578125" style="36" customWidth="1"/>
    <col min="2050" max="2050" width="12.7109375" style="36" customWidth="1"/>
    <col min="2051" max="2051" width="6.85546875" style="36" bestFit="1" customWidth="1"/>
    <col min="2052" max="2052" width="9.140625" style="36" customWidth="1"/>
    <col min="2053" max="2053" width="12.7109375" style="36" customWidth="1"/>
    <col min="2054" max="2054" width="7" style="36" bestFit="1" customWidth="1"/>
    <col min="2055" max="2055" width="11.28515625" style="36" customWidth="1"/>
    <col min="2056" max="2056" width="12.7109375" style="36" customWidth="1"/>
    <col min="2057" max="2057" width="9.42578125" style="36" bestFit="1" customWidth="1"/>
    <col min="2058" max="2058" width="10.5703125" style="36" customWidth="1"/>
    <col min="2059" max="2059" width="12.7109375" style="36" customWidth="1"/>
    <col min="2060" max="2304" width="9.140625" style="36"/>
    <col min="2305" max="2305" width="26.42578125" style="36" customWidth="1"/>
    <col min="2306" max="2306" width="12.7109375" style="36" customWidth="1"/>
    <col min="2307" max="2307" width="6.85546875" style="36" bestFit="1" customWidth="1"/>
    <col min="2308" max="2308" width="9.140625" style="36" customWidth="1"/>
    <col min="2309" max="2309" width="12.7109375" style="36" customWidth="1"/>
    <col min="2310" max="2310" width="7" style="36" bestFit="1" customWidth="1"/>
    <col min="2311" max="2311" width="11.28515625" style="36" customWidth="1"/>
    <col min="2312" max="2312" width="12.7109375" style="36" customWidth="1"/>
    <col min="2313" max="2313" width="9.42578125" style="36" bestFit="1" customWidth="1"/>
    <col min="2314" max="2314" width="10.5703125" style="36" customWidth="1"/>
    <col min="2315" max="2315" width="12.7109375" style="36" customWidth="1"/>
    <col min="2316" max="2560" width="9.140625" style="36"/>
    <col min="2561" max="2561" width="26.42578125" style="36" customWidth="1"/>
    <col min="2562" max="2562" width="12.7109375" style="36" customWidth="1"/>
    <col min="2563" max="2563" width="6.85546875" style="36" bestFit="1" customWidth="1"/>
    <col min="2564" max="2564" width="9.140625" style="36" customWidth="1"/>
    <col min="2565" max="2565" width="12.7109375" style="36" customWidth="1"/>
    <col min="2566" max="2566" width="7" style="36" bestFit="1" customWidth="1"/>
    <col min="2567" max="2567" width="11.28515625" style="36" customWidth="1"/>
    <col min="2568" max="2568" width="12.7109375" style="36" customWidth="1"/>
    <col min="2569" max="2569" width="9.42578125" style="36" bestFit="1" customWidth="1"/>
    <col min="2570" max="2570" width="10.5703125" style="36" customWidth="1"/>
    <col min="2571" max="2571" width="12.7109375" style="36" customWidth="1"/>
    <col min="2572" max="2816" width="9.140625" style="36"/>
    <col min="2817" max="2817" width="26.42578125" style="36" customWidth="1"/>
    <col min="2818" max="2818" width="12.7109375" style="36" customWidth="1"/>
    <col min="2819" max="2819" width="6.85546875" style="36" bestFit="1" customWidth="1"/>
    <col min="2820" max="2820" width="9.140625" style="36" customWidth="1"/>
    <col min="2821" max="2821" width="12.7109375" style="36" customWidth="1"/>
    <col min="2822" max="2822" width="7" style="36" bestFit="1" customWidth="1"/>
    <col min="2823" max="2823" width="11.28515625" style="36" customWidth="1"/>
    <col min="2824" max="2824" width="12.7109375" style="36" customWidth="1"/>
    <col min="2825" max="2825" width="9.42578125" style="36" bestFit="1" customWidth="1"/>
    <col min="2826" max="2826" width="10.5703125" style="36" customWidth="1"/>
    <col min="2827" max="2827" width="12.7109375" style="36" customWidth="1"/>
    <col min="2828" max="3072" width="9.140625" style="36"/>
    <col min="3073" max="3073" width="26.42578125" style="36" customWidth="1"/>
    <col min="3074" max="3074" width="12.7109375" style="36" customWidth="1"/>
    <col min="3075" max="3075" width="6.85546875" style="36" bestFit="1" customWidth="1"/>
    <col min="3076" max="3076" width="9.140625" style="36" customWidth="1"/>
    <col min="3077" max="3077" width="12.7109375" style="36" customWidth="1"/>
    <col min="3078" max="3078" width="7" style="36" bestFit="1" customWidth="1"/>
    <col min="3079" max="3079" width="11.28515625" style="36" customWidth="1"/>
    <col min="3080" max="3080" width="12.7109375" style="36" customWidth="1"/>
    <col min="3081" max="3081" width="9.42578125" style="36" bestFit="1" customWidth="1"/>
    <col min="3082" max="3082" width="10.5703125" style="36" customWidth="1"/>
    <col min="3083" max="3083" width="12.7109375" style="36" customWidth="1"/>
    <col min="3084" max="3328" width="9.140625" style="36"/>
    <col min="3329" max="3329" width="26.42578125" style="36" customWidth="1"/>
    <col min="3330" max="3330" width="12.7109375" style="36" customWidth="1"/>
    <col min="3331" max="3331" width="6.85546875" style="36" bestFit="1" customWidth="1"/>
    <col min="3332" max="3332" width="9.140625" style="36" customWidth="1"/>
    <col min="3333" max="3333" width="12.7109375" style="36" customWidth="1"/>
    <col min="3334" max="3334" width="7" style="36" bestFit="1" customWidth="1"/>
    <col min="3335" max="3335" width="11.28515625" style="36" customWidth="1"/>
    <col min="3336" max="3336" width="12.7109375" style="36" customWidth="1"/>
    <col min="3337" max="3337" width="9.42578125" style="36" bestFit="1" customWidth="1"/>
    <col min="3338" max="3338" width="10.5703125" style="36" customWidth="1"/>
    <col min="3339" max="3339" width="12.7109375" style="36" customWidth="1"/>
    <col min="3340" max="3584" width="9.140625" style="36"/>
    <col min="3585" max="3585" width="26.42578125" style="36" customWidth="1"/>
    <col min="3586" max="3586" width="12.7109375" style="36" customWidth="1"/>
    <col min="3587" max="3587" width="6.85546875" style="36" bestFit="1" customWidth="1"/>
    <col min="3588" max="3588" width="9.140625" style="36" customWidth="1"/>
    <col min="3589" max="3589" width="12.7109375" style="36" customWidth="1"/>
    <col min="3590" max="3590" width="7" style="36" bestFit="1" customWidth="1"/>
    <col min="3591" max="3591" width="11.28515625" style="36" customWidth="1"/>
    <col min="3592" max="3592" width="12.7109375" style="36" customWidth="1"/>
    <col min="3593" max="3593" width="9.42578125" style="36" bestFit="1" customWidth="1"/>
    <col min="3594" max="3594" width="10.5703125" style="36" customWidth="1"/>
    <col min="3595" max="3595" width="12.7109375" style="36" customWidth="1"/>
    <col min="3596" max="3840" width="9.140625" style="36"/>
    <col min="3841" max="3841" width="26.42578125" style="36" customWidth="1"/>
    <col min="3842" max="3842" width="12.7109375" style="36" customWidth="1"/>
    <col min="3843" max="3843" width="6.85546875" style="36" bestFit="1" customWidth="1"/>
    <col min="3844" max="3844" width="9.140625" style="36" customWidth="1"/>
    <col min="3845" max="3845" width="12.7109375" style="36" customWidth="1"/>
    <col min="3846" max="3846" width="7" style="36" bestFit="1" customWidth="1"/>
    <col min="3847" max="3847" width="11.28515625" style="36" customWidth="1"/>
    <col min="3848" max="3848" width="12.7109375" style="36" customWidth="1"/>
    <col min="3849" max="3849" width="9.42578125" style="36" bestFit="1" customWidth="1"/>
    <col min="3850" max="3850" width="10.5703125" style="36" customWidth="1"/>
    <col min="3851" max="3851" width="12.7109375" style="36" customWidth="1"/>
    <col min="3852" max="4096" width="9.140625" style="36"/>
    <col min="4097" max="4097" width="26.42578125" style="36" customWidth="1"/>
    <col min="4098" max="4098" width="12.7109375" style="36" customWidth="1"/>
    <col min="4099" max="4099" width="6.85546875" style="36" bestFit="1" customWidth="1"/>
    <col min="4100" max="4100" width="9.140625" style="36" customWidth="1"/>
    <col min="4101" max="4101" width="12.7109375" style="36" customWidth="1"/>
    <col min="4102" max="4102" width="7" style="36" bestFit="1" customWidth="1"/>
    <col min="4103" max="4103" width="11.28515625" style="36" customWidth="1"/>
    <col min="4104" max="4104" width="12.7109375" style="36" customWidth="1"/>
    <col min="4105" max="4105" width="9.42578125" style="36" bestFit="1" customWidth="1"/>
    <col min="4106" max="4106" width="10.5703125" style="36" customWidth="1"/>
    <col min="4107" max="4107" width="12.7109375" style="36" customWidth="1"/>
    <col min="4108" max="4352" width="9.140625" style="36"/>
    <col min="4353" max="4353" width="26.42578125" style="36" customWidth="1"/>
    <col min="4354" max="4354" width="12.7109375" style="36" customWidth="1"/>
    <col min="4355" max="4355" width="6.85546875" style="36" bestFit="1" customWidth="1"/>
    <col min="4356" max="4356" width="9.140625" style="36" customWidth="1"/>
    <col min="4357" max="4357" width="12.7109375" style="36" customWidth="1"/>
    <col min="4358" max="4358" width="7" style="36" bestFit="1" customWidth="1"/>
    <col min="4359" max="4359" width="11.28515625" style="36" customWidth="1"/>
    <col min="4360" max="4360" width="12.7109375" style="36" customWidth="1"/>
    <col min="4361" max="4361" width="9.42578125" style="36" bestFit="1" customWidth="1"/>
    <col min="4362" max="4362" width="10.5703125" style="36" customWidth="1"/>
    <col min="4363" max="4363" width="12.7109375" style="36" customWidth="1"/>
    <col min="4364" max="4608" width="9.140625" style="36"/>
    <col min="4609" max="4609" width="26.42578125" style="36" customWidth="1"/>
    <col min="4610" max="4610" width="12.7109375" style="36" customWidth="1"/>
    <col min="4611" max="4611" width="6.85546875" style="36" bestFit="1" customWidth="1"/>
    <col min="4612" max="4612" width="9.140625" style="36" customWidth="1"/>
    <col min="4613" max="4613" width="12.7109375" style="36" customWidth="1"/>
    <col min="4614" max="4614" width="7" style="36" bestFit="1" customWidth="1"/>
    <col min="4615" max="4615" width="11.28515625" style="36" customWidth="1"/>
    <col min="4616" max="4616" width="12.7109375" style="36" customWidth="1"/>
    <col min="4617" max="4617" width="9.42578125" style="36" bestFit="1" customWidth="1"/>
    <col min="4618" max="4618" width="10.5703125" style="36" customWidth="1"/>
    <col min="4619" max="4619" width="12.7109375" style="36" customWidth="1"/>
    <col min="4620" max="4864" width="9.140625" style="36"/>
    <col min="4865" max="4865" width="26.42578125" style="36" customWidth="1"/>
    <col min="4866" max="4866" width="12.7109375" style="36" customWidth="1"/>
    <col min="4867" max="4867" width="6.85546875" style="36" bestFit="1" customWidth="1"/>
    <col min="4868" max="4868" width="9.140625" style="36" customWidth="1"/>
    <col min="4869" max="4869" width="12.7109375" style="36" customWidth="1"/>
    <col min="4870" max="4870" width="7" style="36" bestFit="1" customWidth="1"/>
    <col min="4871" max="4871" width="11.28515625" style="36" customWidth="1"/>
    <col min="4872" max="4872" width="12.7109375" style="36" customWidth="1"/>
    <col min="4873" max="4873" width="9.42578125" style="36" bestFit="1" customWidth="1"/>
    <col min="4874" max="4874" width="10.5703125" style="36" customWidth="1"/>
    <col min="4875" max="4875" width="12.7109375" style="36" customWidth="1"/>
    <col min="4876" max="5120" width="9.140625" style="36"/>
    <col min="5121" max="5121" width="26.42578125" style="36" customWidth="1"/>
    <col min="5122" max="5122" width="12.7109375" style="36" customWidth="1"/>
    <col min="5123" max="5123" width="6.85546875" style="36" bestFit="1" customWidth="1"/>
    <col min="5124" max="5124" width="9.140625" style="36" customWidth="1"/>
    <col min="5125" max="5125" width="12.7109375" style="36" customWidth="1"/>
    <col min="5126" max="5126" width="7" style="36" bestFit="1" customWidth="1"/>
    <col min="5127" max="5127" width="11.28515625" style="36" customWidth="1"/>
    <col min="5128" max="5128" width="12.7109375" style="36" customWidth="1"/>
    <col min="5129" max="5129" width="9.42578125" style="36" bestFit="1" customWidth="1"/>
    <col min="5130" max="5130" width="10.5703125" style="36" customWidth="1"/>
    <col min="5131" max="5131" width="12.7109375" style="36" customWidth="1"/>
    <col min="5132" max="5376" width="9.140625" style="36"/>
    <col min="5377" max="5377" width="26.42578125" style="36" customWidth="1"/>
    <col min="5378" max="5378" width="12.7109375" style="36" customWidth="1"/>
    <col min="5379" max="5379" width="6.85546875" style="36" bestFit="1" customWidth="1"/>
    <col min="5380" max="5380" width="9.140625" style="36" customWidth="1"/>
    <col min="5381" max="5381" width="12.7109375" style="36" customWidth="1"/>
    <col min="5382" max="5382" width="7" style="36" bestFit="1" customWidth="1"/>
    <col min="5383" max="5383" width="11.28515625" style="36" customWidth="1"/>
    <col min="5384" max="5384" width="12.7109375" style="36" customWidth="1"/>
    <col min="5385" max="5385" width="9.42578125" style="36" bestFit="1" customWidth="1"/>
    <col min="5386" max="5386" width="10.5703125" style="36" customWidth="1"/>
    <col min="5387" max="5387" width="12.7109375" style="36" customWidth="1"/>
    <col min="5388" max="5632" width="9.140625" style="36"/>
    <col min="5633" max="5633" width="26.42578125" style="36" customWidth="1"/>
    <col min="5634" max="5634" width="12.7109375" style="36" customWidth="1"/>
    <col min="5635" max="5635" width="6.85546875" style="36" bestFit="1" customWidth="1"/>
    <col min="5636" max="5636" width="9.140625" style="36" customWidth="1"/>
    <col min="5637" max="5637" width="12.7109375" style="36" customWidth="1"/>
    <col min="5638" max="5638" width="7" style="36" bestFit="1" customWidth="1"/>
    <col min="5639" max="5639" width="11.28515625" style="36" customWidth="1"/>
    <col min="5640" max="5640" width="12.7109375" style="36" customWidth="1"/>
    <col min="5641" max="5641" width="9.42578125" style="36" bestFit="1" customWidth="1"/>
    <col min="5642" max="5642" width="10.5703125" style="36" customWidth="1"/>
    <col min="5643" max="5643" width="12.7109375" style="36" customWidth="1"/>
    <col min="5644" max="5888" width="9.140625" style="36"/>
    <col min="5889" max="5889" width="26.42578125" style="36" customWidth="1"/>
    <col min="5890" max="5890" width="12.7109375" style="36" customWidth="1"/>
    <col min="5891" max="5891" width="6.85546875" style="36" bestFit="1" customWidth="1"/>
    <col min="5892" max="5892" width="9.140625" style="36" customWidth="1"/>
    <col min="5893" max="5893" width="12.7109375" style="36" customWidth="1"/>
    <col min="5894" max="5894" width="7" style="36" bestFit="1" customWidth="1"/>
    <col min="5895" max="5895" width="11.28515625" style="36" customWidth="1"/>
    <col min="5896" max="5896" width="12.7109375" style="36" customWidth="1"/>
    <col min="5897" max="5897" width="9.42578125" style="36" bestFit="1" customWidth="1"/>
    <col min="5898" max="5898" width="10.5703125" style="36" customWidth="1"/>
    <col min="5899" max="5899" width="12.7109375" style="36" customWidth="1"/>
    <col min="5900" max="6144" width="9.140625" style="36"/>
    <col min="6145" max="6145" width="26.42578125" style="36" customWidth="1"/>
    <col min="6146" max="6146" width="12.7109375" style="36" customWidth="1"/>
    <col min="6147" max="6147" width="6.85546875" style="36" bestFit="1" customWidth="1"/>
    <col min="6148" max="6148" width="9.140625" style="36" customWidth="1"/>
    <col min="6149" max="6149" width="12.7109375" style="36" customWidth="1"/>
    <col min="6150" max="6150" width="7" style="36" bestFit="1" customWidth="1"/>
    <col min="6151" max="6151" width="11.28515625" style="36" customWidth="1"/>
    <col min="6152" max="6152" width="12.7109375" style="36" customWidth="1"/>
    <col min="6153" max="6153" width="9.42578125" style="36" bestFit="1" customWidth="1"/>
    <col min="6154" max="6154" width="10.5703125" style="36" customWidth="1"/>
    <col min="6155" max="6155" width="12.7109375" style="36" customWidth="1"/>
    <col min="6156" max="6400" width="9.140625" style="36"/>
    <col min="6401" max="6401" width="26.42578125" style="36" customWidth="1"/>
    <col min="6402" max="6402" width="12.7109375" style="36" customWidth="1"/>
    <col min="6403" max="6403" width="6.85546875" style="36" bestFit="1" customWidth="1"/>
    <col min="6404" max="6404" width="9.140625" style="36" customWidth="1"/>
    <col min="6405" max="6405" width="12.7109375" style="36" customWidth="1"/>
    <col min="6406" max="6406" width="7" style="36" bestFit="1" customWidth="1"/>
    <col min="6407" max="6407" width="11.28515625" style="36" customWidth="1"/>
    <col min="6408" max="6408" width="12.7109375" style="36" customWidth="1"/>
    <col min="6409" max="6409" width="9.42578125" style="36" bestFit="1" customWidth="1"/>
    <col min="6410" max="6410" width="10.5703125" style="36" customWidth="1"/>
    <col min="6411" max="6411" width="12.7109375" style="36" customWidth="1"/>
    <col min="6412" max="6656" width="9.140625" style="36"/>
    <col min="6657" max="6657" width="26.42578125" style="36" customWidth="1"/>
    <col min="6658" max="6658" width="12.7109375" style="36" customWidth="1"/>
    <col min="6659" max="6659" width="6.85546875" style="36" bestFit="1" customWidth="1"/>
    <col min="6660" max="6660" width="9.140625" style="36" customWidth="1"/>
    <col min="6661" max="6661" width="12.7109375" style="36" customWidth="1"/>
    <col min="6662" max="6662" width="7" style="36" bestFit="1" customWidth="1"/>
    <col min="6663" max="6663" width="11.28515625" style="36" customWidth="1"/>
    <col min="6664" max="6664" width="12.7109375" style="36" customWidth="1"/>
    <col min="6665" max="6665" width="9.42578125" style="36" bestFit="1" customWidth="1"/>
    <col min="6666" max="6666" width="10.5703125" style="36" customWidth="1"/>
    <col min="6667" max="6667" width="12.7109375" style="36" customWidth="1"/>
    <col min="6668" max="6912" width="9.140625" style="36"/>
    <col min="6913" max="6913" width="26.42578125" style="36" customWidth="1"/>
    <col min="6914" max="6914" width="12.7109375" style="36" customWidth="1"/>
    <col min="6915" max="6915" width="6.85546875" style="36" bestFit="1" customWidth="1"/>
    <col min="6916" max="6916" width="9.140625" style="36" customWidth="1"/>
    <col min="6917" max="6917" width="12.7109375" style="36" customWidth="1"/>
    <col min="6918" max="6918" width="7" style="36" bestFit="1" customWidth="1"/>
    <col min="6919" max="6919" width="11.28515625" style="36" customWidth="1"/>
    <col min="6920" max="6920" width="12.7109375" style="36" customWidth="1"/>
    <col min="6921" max="6921" width="9.42578125" style="36" bestFit="1" customWidth="1"/>
    <col min="6922" max="6922" width="10.5703125" style="36" customWidth="1"/>
    <col min="6923" max="6923" width="12.7109375" style="36" customWidth="1"/>
    <col min="6924" max="7168" width="9.140625" style="36"/>
    <col min="7169" max="7169" width="26.42578125" style="36" customWidth="1"/>
    <col min="7170" max="7170" width="12.7109375" style="36" customWidth="1"/>
    <col min="7171" max="7171" width="6.85546875" style="36" bestFit="1" customWidth="1"/>
    <col min="7172" max="7172" width="9.140625" style="36" customWidth="1"/>
    <col min="7173" max="7173" width="12.7109375" style="36" customWidth="1"/>
    <col min="7174" max="7174" width="7" style="36" bestFit="1" customWidth="1"/>
    <col min="7175" max="7175" width="11.28515625" style="36" customWidth="1"/>
    <col min="7176" max="7176" width="12.7109375" style="36" customWidth="1"/>
    <col min="7177" max="7177" width="9.42578125" style="36" bestFit="1" customWidth="1"/>
    <col min="7178" max="7178" width="10.5703125" style="36" customWidth="1"/>
    <col min="7179" max="7179" width="12.7109375" style="36" customWidth="1"/>
    <col min="7180" max="7424" width="9.140625" style="36"/>
    <col min="7425" max="7425" width="26.42578125" style="36" customWidth="1"/>
    <col min="7426" max="7426" width="12.7109375" style="36" customWidth="1"/>
    <col min="7427" max="7427" width="6.85546875" style="36" bestFit="1" customWidth="1"/>
    <col min="7428" max="7428" width="9.140625" style="36" customWidth="1"/>
    <col min="7429" max="7429" width="12.7109375" style="36" customWidth="1"/>
    <col min="7430" max="7430" width="7" style="36" bestFit="1" customWidth="1"/>
    <col min="7431" max="7431" width="11.28515625" style="36" customWidth="1"/>
    <col min="7432" max="7432" width="12.7109375" style="36" customWidth="1"/>
    <col min="7433" max="7433" width="9.42578125" style="36" bestFit="1" customWidth="1"/>
    <col min="7434" max="7434" width="10.5703125" style="36" customWidth="1"/>
    <col min="7435" max="7435" width="12.7109375" style="36" customWidth="1"/>
    <col min="7436" max="7680" width="9.140625" style="36"/>
    <col min="7681" max="7681" width="26.42578125" style="36" customWidth="1"/>
    <col min="7682" max="7682" width="12.7109375" style="36" customWidth="1"/>
    <col min="7683" max="7683" width="6.85546875" style="36" bestFit="1" customWidth="1"/>
    <col min="7684" max="7684" width="9.140625" style="36" customWidth="1"/>
    <col min="7685" max="7685" width="12.7109375" style="36" customWidth="1"/>
    <col min="7686" max="7686" width="7" style="36" bestFit="1" customWidth="1"/>
    <col min="7687" max="7687" width="11.28515625" style="36" customWidth="1"/>
    <col min="7688" max="7688" width="12.7109375" style="36" customWidth="1"/>
    <col min="7689" max="7689" width="9.42578125" style="36" bestFit="1" customWidth="1"/>
    <col min="7690" max="7690" width="10.5703125" style="36" customWidth="1"/>
    <col min="7691" max="7691" width="12.7109375" style="36" customWidth="1"/>
    <col min="7692" max="7936" width="9.140625" style="36"/>
    <col min="7937" max="7937" width="26.42578125" style="36" customWidth="1"/>
    <col min="7938" max="7938" width="12.7109375" style="36" customWidth="1"/>
    <col min="7939" max="7939" width="6.85546875" style="36" bestFit="1" customWidth="1"/>
    <col min="7940" max="7940" width="9.140625" style="36" customWidth="1"/>
    <col min="7941" max="7941" width="12.7109375" style="36" customWidth="1"/>
    <col min="7942" max="7942" width="7" style="36" bestFit="1" customWidth="1"/>
    <col min="7943" max="7943" width="11.28515625" style="36" customWidth="1"/>
    <col min="7944" max="7944" width="12.7109375" style="36" customWidth="1"/>
    <col min="7945" max="7945" width="9.42578125" style="36" bestFit="1" customWidth="1"/>
    <col min="7946" max="7946" width="10.5703125" style="36" customWidth="1"/>
    <col min="7947" max="7947" width="12.7109375" style="36" customWidth="1"/>
    <col min="7948" max="8192" width="9.140625" style="36"/>
    <col min="8193" max="8193" width="26.42578125" style="36" customWidth="1"/>
    <col min="8194" max="8194" width="12.7109375" style="36" customWidth="1"/>
    <col min="8195" max="8195" width="6.85546875" style="36" bestFit="1" customWidth="1"/>
    <col min="8196" max="8196" width="9.140625" style="36" customWidth="1"/>
    <col min="8197" max="8197" width="12.7109375" style="36" customWidth="1"/>
    <col min="8198" max="8198" width="7" style="36" bestFit="1" customWidth="1"/>
    <col min="8199" max="8199" width="11.28515625" style="36" customWidth="1"/>
    <col min="8200" max="8200" width="12.7109375" style="36" customWidth="1"/>
    <col min="8201" max="8201" width="9.42578125" style="36" bestFit="1" customWidth="1"/>
    <col min="8202" max="8202" width="10.5703125" style="36" customWidth="1"/>
    <col min="8203" max="8203" width="12.7109375" style="36" customWidth="1"/>
    <col min="8204" max="8448" width="9.140625" style="36"/>
    <col min="8449" max="8449" width="26.42578125" style="36" customWidth="1"/>
    <col min="8450" max="8450" width="12.7109375" style="36" customWidth="1"/>
    <col min="8451" max="8451" width="6.85546875" style="36" bestFit="1" customWidth="1"/>
    <col min="8452" max="8452" width="9.140625" style="36" customWidth="1"/>
    <col min="8453" max="8453" width="12.7109375" style="36" customWidth="1"/>
    <col min="8454" max="8454" width="7" style="36" bestFit="1" customWidth="1"/>
    <col min="8455" max="8455" width="11.28515625" style="36" customWidth="1"/>
    <col min="8456" max="8456" width="12.7109375" style="36" customWidth="1"/>
    <col min="8457" max="8457" width="9.42578125" style="36" bestFit="1" customWidth="1"/>
    <col min="8458" max="8458" width="10.5703125" style="36" customWidth="1"/>
    <col min="8459" max="8459" width="12.7109375" style="36" customWidth="1"/>
    <col min="8460" max="8704" width="9.140625" style="36"/>
    <col min="8705" max="8705" width="26.42578125" style="36" customWidth="1"/>
    <col min="8706" max="8706" width="12.7109375" style="36" customWidth="1"/>
    <col min="8707" max="8707" width="6.85546875" style="36" bestFit="1" customWidth="1"/>
    <col min="8708" max="8708" width="9.140625" style="36" customWidth="1"/>
    <col min="8709" max="8709" width="12.7109375" style="36" customWidth="1"/>
    <col min="8710" max="8710" width="7" style="36" bestFit="1" customWidth="1"/>
    <col min="8711" max="8711" width="11.28515625" style="36" customWidth="1"/>
    <col min="8712" max="8712" width="12.7109375" style="36" customWidth="1"/>
    <col min="8713" max="8713" width="9.42578125" style="36" bestFit="1" customWidth="1"/>
    <col min="8714" max="8714" width="10.5703125" style="36" customWidth="1"/>
    <col min="8715" max="8715" width="12.7109375" style="36" customWidth="1"/>
    <col min="8716" max="8960" width="9.140625" style="36"/>
    <col min="8961" max="8961" width="26.42578125" style="36" customWidth="1"/>
    <col min="8962" max="8962" width="12.7109375" style="36" customWidth="1"/>
    <col min="8963" max="8963" width="6.85546875" style="36" bestFit="1" customWidth="1"/>
    <col min="8964" max="8964" width="9.140625" style="36" customWidth="1"/>
    <col min="8965" max="8965" width="12.7109375" style="36" customWidth="1"/>
    <col min="8966" max="8966" width="7" style="36" bestFit="1" customWidth="1"/>
    <col min="8967" max="8967" width="11.28515625" style="36" customWidth="1"/>
    <col min="8968" max="8968" width="12.7109375" style="36" customWidth="1"/>
    <col min="8969" max="8969" width="9.42578125" style="36" bestFit="1" customWidth="1"/>
    <col min="8970" max="8970" width="10.5703125" style="36" customWidth="1"/>
    <col min="8971" max="8971" width="12.7109375" style="36" customWidth="1"/>
    <col min="8972" max="9216" width="9.140625" style="36"/>
    <col min="9217" max="9217" width="26.42578125" style="36" customWidth="1"/>
    <col min="9218" max="9218" width="12.7109375" style="36" customWidth="1"/>
    <col min="9219" max="9219" width="6.85546875" style="36" bestFit="1" customWidth="1"/>
    <col min="9220" max="9220" width="9.140625" style="36" customWidth="1"/>
    <col min="9221" max="9221" width="12.7109375" style="36" customWidth="1"/>
    <col min="9222" max="9222" width="7" style="36" bestFit="1" customWidth="1"/>
    <col min="9223" max="9223" width="11.28515625" style="36" customWidth="1"/>
    <col min="9224" max="9224" width="12.7109375" style="36" customWidth="1"/>
    <col min="9225" max="9225" width="9.42578125" style="36" bestFit="1" customWidth="1"/>
    <col min="9226" max="9226" width="10.5703125" style="36" customWidth="1"/>
    <col min="9227" max="9227" width="12.7109375" style="36" customWidth="1"/>
    <col min="9228" max="9472" width="9.140625" style="36"/>
    <col min="9473" max="9473" width="26.42578125" style="36" customWidth="1"/>
    <col min="9474" max="9474" width="12.7109375" style="36" customWidth="1"/>
    <col min="9475" max="9475" width="6.85546875" style="36" bestFit="1" customWidth="1"/>
    <col min="9476" max="9476" width="9.140625" style="36" customWidth="1"/>
    <col min="9477" max="9477" width="12.7109375" style="36" customWidth="1"/>
    <col min="9478" max="9478" width="7" style="36" bestFit="1" customWidth="1"/>
    <col min="9479" max="9479" width="11.28515625" style="36" customWidth="1"/>
    <col min="9480" max="9480" width="12.7109375" style="36" customWidth="1"/>
    <col min="9481" max="9481" width="9.42578125" style="36" bestFit="1" customWidth="1"/>
    <col min="9482" max="9482" width="10.5703125" style="36" customWidth="1"/>
    <col min="9483" max="9483" width="12.7109375" style="36" customWidth="1"/>
    <col min="9484" max="9728" width="9.140625" style="36"/>
    <col min="9729" max="9729" width="26.42578125" style="36" customWidth="1"/>
    <col min="9730" max="9730" width="12.7109375" style="36" customWidth="1"/>
    <col min="9731" max="9731" width="6.85546875" style="36" bestFit="1" customWidth="1"/>
    <col min="9732" max="9732" width="9.140625" style="36" customWidth="1"/>
    <col min="9733" max="9733" width="12.7109375" style="36" customWidth="1"/>
    <col min="9734" max="9734" width="7" style="36" bestFit="1" customWidth="1"/>
    <col min="9735" max="9735" width="11.28515625" style="36" customWidth="1"/>
    <col min="9736" max="9736" width="12.7109375" style="36" customWidth="1"/>
    <col min="9737" max="9737" width="9.42578125" style="36" bestFit="1" customWidth="1"/>
    <col min="9738" max="9738" width="10.5703125" style="36" customWidth="1"/>
    <col min="9739" max="9739" width="12.7109375" style="36" customWidth="1"/>
    <col min="9740" max="9984" width="9.140625" style="36"/>
    <col min="9985" max="9985" width="26.42578125" style="36" customWidth="1"/>
    <col min="9986" max="9986" width="12.7109375" style="36" customWidth="1"/>
    <col min="9987" max="9987" width="6.85546875" style="36" bestFit="1" customWidth="1"/>
    <col min="9988" max="9988" width="9.140625" style="36" customWidth="1"/>
    <col min="9989" max="9989" width="12.7109375" style="36" customWidth="1"/>
    <col min="9990" max="9990" width="7" style="36" bestFit="1" customWidth="1"/>
    <col min="9991" max="9991" width="11.28515625" style="36" customWidth="1"/>
    <col min="9992" max="9992" width="12.7109375" style="36" customWidth="1"/>
    <col min="9993" max="9993" width="9.42578125" style="36" bestFit="1" customWidth="1"/>
    <col min="9994" max="9994" width="10.5703125" style="36" customWidth="1"/>
    <col min="9995" max="9995" width="12.7109375" style="36" customWidth="1"/>
    <col min="9996" max="10240" width="9.140625" style="36"/>
    <col min="10241" max="10241" width="26.42578125" style="36" customWidth="1"/>
    <col min="10242" max="10242" width="12.7109375" style="36" customWidth="1"/>
    <col min="10243" max="10243" width="6.85546875" style="36" bestFit="1" customWidth="1"/>
    <col min="10244" max="10244" width="9.140625" style="36" customWidth="1"/>
    <col min="10245" max="10245" width="12.7109375" style="36" customWidth="1"/>
    <col min="10246" max="10246" width="7" style="36" bestFit="1" customWidth="1"/>
    <col min="10247" max="10247" width="11.28515625" style="36" customWidth="1"/>
    <col min="10248" max="10248" width="12.7109375" style="36" customWidth="1"/>
    <col min="10249" max="10249" width="9.42578125" style="36" bestFit="1" customWidth="1"/>
    <col min="10250" max="10250" width="10.5703125" style="36" customWidth="1"/>
    <col min="10251" max="10251" width="12.7109375" style="36" customWidth="1"/>
    <col min="10252" max="10496" width="9.140625" style="36"/>
    <col min="10497" max="10497" width="26.42578125" style="36" customWidth="1"/>
    <col min="10498" max="10498" width="12.7109375" style="36" customWidth="1"/>
    <col min="10499" max="10499" width="6.85546875" style="36" bestFit="1" customWidth="1"/>
    <col min="10500" max="10500" width="9.140625" style="36" customWidth="1"/>
    <col min="10501" max="10501" width="12.7109375" style="36" customWidth="1"/>
    <col min="10502" max="10502" width="7" style="36" bestFit="1" customWidth="1"/>
    <col min="10503" max="10503" width="11.28515625" style="36" customWidth="1"/>
    <col min="10504" max="10504" width="12.7109375" style="36" customWidth="1"/>
    <col min="10505" max="10505" width="9.42578125" style="36" bestFit="1" customWidth="1"/>
    <col min="10506" max="10506" width="10.5703125" style="36" customWidth="1"/>
    <col min="10507" max="10507" width="12.7109375" style="36" customWidth="1"/>
    <col min="10508" max="10752" width="9.140625" style="36"/>
    <col min="10753" max="10753" width="26.42578125" style="36" customWidth="1"/>
    <col min="10754" max="10754" width="12.7109375" style="36" customWidth="1"/>
    <col min="10755" max="10755" width="6.85546875" style="36" bestFit="1" customWidth="1"/>
    <col min="10756" max="10756" width="9.140625" style="36" customWidth="1"/>
    <col min="10757" max="10757" width="12.7109375" style="36" customWidth="1"/>
    <col min="10758" max="10758" width="7" style="36" bestFit="1" customWidth="1"/>
    <col min="10759" max="10759" width="11.28515625" style="36" customWidth="1"/>
    <col min="10760" max="10760" width="12.7109375" style="36" customWidth="1"/>
    <col min="10761" max="10761" width="9.42578125" style="36" bestFit="1" customWidth="1"/>
    <col min="10762" max="10762" width="10.5703125" style="36" customWidth="1"/>
    <col min="10763" max="10763" width="12.7109375" style="36" customWidth="1"/>
    <col min="10764" max="11008" width="9.140625" style="36"/>
    <col min="11009" max="11009" width="26.42578125" style="36" customWidth="1"/>
    <col min="11010" max="11010" width="12.7109375" style="36" customWidth="1"/>
    <col min="11011" max="11011" width="6.85546875" style="36" bestFit="1" customWidth="1"/>
    <col min="11012" max="11012" width="9.140625" style="36" customWidth="1"/>
    <col min="11013" max="11013" width="12.7109375" style="36" customWidth="1"/>
    <col min="11014" max="11014" width="7" style="36" bestFit="1" customWidth="1"/>
    <col min="11015" max="11015" width="11.28515625" style="36" customWidth="1"/>
    <col min="11016" max="11016" width="12.7109375" style="36" customWidth="1"/>
    <col min="11017" max="11017" width="9.42578125" style="36" bestFit="1" customWidth="1"/>
    <col min="11018" max="11018" width="10.5703125" style="36" customWidth="1"/>
    <col min="11019" max="11019" width="12.7109375" style="36" customWidth="1"/>
    <col min="11020" max="11264" width="9.140625" style="36"/>
    <col min="11265" max="11265" width="26.42578125" style="36" customWidth="1"/>
    <col min="11266" max="11266" width="12.7109375" style="36" customWidth="1"/>
    <col min="11267" max="11267" width="6.85546875" style="36" bestFit="1" customWidth="1"/>
    <col min="11268" max="11268" width="9.140625" style="36" customWidth="1"/>
    <col min="11269" max="11269" width="12.7109375" style="36" customWidth="1"/>
    <col min="11270" max="11270" width="7" style="36" bestFit="1" customWidth="1"/>
    <col min="11271" max="11271" width="11.28515625" style="36" customWidth="1"/>
    <col min="11272" max="11272" width="12.7109375" style="36" customWidth="1"/>
    <col min="11273" max="11273" width="9.42578125" style="36" bestFit="1" customWidth="1"/>
    <col min="11274" max="11274" width="10.5703125" style="36" customWidth="1"/>
    <col min="11275" max="11275" width="12.7109375" style="36" customWidth="1"/>
    <col min="11276" max="11520" width="9.140625" style="36"/>
    <col min="11521" max="11521" width="26.42578125" style="36" customWidth="1"/>
    <col min="11522" max="11522" width="12.7109375" style="36" customWidth="1"/>
    <col min="11523" max="11523" width="6.85546875" style="36" bestFit="1" customWidth="1"/>
    <col min="11524" max="11524" width="9.140625" style="36" customWidth="1"/>
    <col min="11525" max="11525" width="12.7109375" style="36" customWidth="1"/>
    <col min="11526" max="11526" width="7" style="36" bestFit="1" customWidth="1"/>
    <col min="11527" max="11527" width="11.28515625" style="36" customWidth="1"/>
    <col min="11528" max="11528" width="12.7109375" style="36" customWidth="1"/>
    <col min="11529" max="11529" width="9.42578125" style="36" bestFit="1" customWidth="1"/>
    <col min="11530" max="11530" width="10.5703125" style="36" customWidth="1"/>
    <col min="11531" max="11531" width="12.7109375" style="36" customWidth="1"/>
    <col min="11532" max="11776" width="9.140625" style="36"/>
    <col min="11777" max="11777" width="26.42578125" style="36" customWidth="1"/>
    <col min="11778" max="11778" width="12.7109375" style="36" customWidth="1"/>
    <col min="11779" max="11779" width="6.85546875" style="36" bestFit="1" customWidth="1"/>
    <col min="11780" max="11780" width="9.140625" style="36" customWidth="1"/>
    <col min="11781" max="11781" width="12.7109375" style="36" customWidth="1"/>
    <col min="11782" max="11782" width="7" style="36" bestFit="1" customWidth="1"/>
    <col min="11783" max="11783" width="11.28515625" style="36" customWidth="1"/>
    <col min="11784" max="11784" width="12.7109375" style="36" customWidth="1"/>
    <col min="11785" max="11785" width="9.42578125" style="36" bestFit="1" customWidth="1"/>
    <col min="11786" max="11786" width="10.5703125" style="36" customWidth="1"/>
    <col min="11787" max="11787" width="12.7109375" style="36" customWidth="1"/>
    <col min="11788" max="12032" width="9.140625" style="36"/>
    <col min="12033" max="12033" width="26.42578125" style="36" customWidth="1"/>
    <col min="12034" max="12034" width="12.7109375" style="36" customWidth="1"/>
    <col min="12035" max="12035" width="6.85546875" style="36" bestFit="1" customWidth="1"/>
    <col min="12036" max="12036" width="9.140625" style="36" customWidth="1"/>
    <col min="12037" max="12037" width="12.7109375" style="36" customWidth="1"/>
    <col min="12038" max="12038" width="7" style="36" bestFit="1" customWidth="1"/>
    <col min="12039" max="12039" width="11.28515625" style="36" customWidth="1"/>
    <col min="12040" max="12040" width="12.7109375" style="36" customWidth="1"/>
    <col min="12041" max="12041" width="9.42578125" style="36" bestFit="1" customWidth="1"/>
    <col min="12042" max="12042" width="10.5703125" style="36" customWidth="1"/>
    <col min="12043" max="12043" width="12.7109375" style="36" customWidth="1"/>
    <col min="12044" max="12288" width="9.140625" style="36"/>
    <col min="12289" max="12289" width="26.42578125" style="36" customWidth="1"/>
    <col min="12290" max="12290" width="12.7109375" style="36" customWidth="1"/>
    <col min="12291" max="12291" width="6.85546875" style="36" bestFit="1" customWidth="1"/>
    <col min="12292" max="12292" width="9.140625" style="36" customWidth="1"/>
    <col min="12293" max="12293" width="12.7109375" style="36" customWidth="1"/>
    <col min="12294" max="12294" width="7" style="36" bestFit="1" customWidth="1"/>
    <col min="12295" max="12295" width="11.28515625" style="36" customWidth="1"/>
    <col min="12296" max="12296" width="12.7109375" style="36" customWidth="1"/>
    <col min="12297" max="12297" width="9.42578125" style="36" bestFit="1" customWidth="1"/>
    <col min="12298" max="12298" width="10.5703125" style="36" customWidth="1"/>
    <col min="12299" max="12299" width="12.7109375" style="36" customWidth="1"/>
    <col min="12300" max="12544" width="9.140625" style="36"/>
    <col min="12545" max="12545" width="26.42578125" style="36" customWidth="1"/>
    <col min="12546" max="12546" width="12.7109375" style="36" customWidth="1"/>
    <col min="12547" max="12547" width="6.85546875" style="36" bestFit="1" customWidth="1"/>
    <col min="12548" max="12548" width="9.140625" style="36" customWidth="1"/>
    <col min="12549" max="12549" width="12.7109375" style="36" customWidth="1"/>
    <col min="12550" max="12550" width="7" style="36" bestFit="1" customWidth="1"/>
    <col min="12551" max="12551" width="11.28515625" style="36" customWidth="1"/>
    <col min="12552" max="12552" width="12.7109375" style="36" customWidth="1"/>
    <col min="12553" max="12553" width="9.42578125" style="36" bestFit="1" customWidth="1"/>
    <col min="12554" max="12554" width="10.5703125" style="36" customWidth="1"/>
    <col min="12555" max="12555" width="12.7109375" style="36" customWidth="1"/>
    <col min="12556" max="12800" width="9.140625" style="36"/>
    <col min="12801" max="12801" width="26.42578125" style="36" customWidth="1"/>
    <col min="12802" max="12802" width="12.7109375" style="36" customWidth="1"/>
    <col min="12803" max="12803" width="6.85546875" style="36" bestFit="1" customWidth="1"/>
    <col min="12804" max="12804" width="9.140625" style="36" customWidth="1"/>
    <col min="12805" max="12805" width="12.7109375" style="36" customWidth="1"/>
    <col min="12806" max="12806" width="7" style="36" bestFit="1" customWidth="1"/>
    <col min="12807" max="12807" width="11.28515625" style="36" customWidth="1"/>
    <col min="12808" max="12808" width="12.7109375" style="36" customWidth="1"/>
    <col min="12809" max="12809" width="9.42578125" style="36" bestFit="1" customWidth="1"/>
    <col min="12810" max="12810" width="10.5703125" style="36" customWidth="1"/>
    <col min="12811" max="12811" width="12.7109375" style="36" customWidth="1"/>
    <col min="12812" max="13056" width="9.140625" style="36"/>
    <col min="13057" max="13057" width="26.42578125" style="36" customWidth="1"/>
    <col min="13058" max="13058" width="12.7109375" style="36" customWidth="1"/>
    <col min="13059" max="13059" width="6.85546875" style="36" bestFit="1" customWidth="1"/>
    <col min="13060" max="13060" width="9.140625" style="36" customWidth="1"/>
    <col min="13061" max="13061" width="12.7109375" style="36" customWidth="1"/>
    <col min="13062" max="13062" width="7" style="36" bestFit="1" customWidth="1"/>
    <col min="13063" max="13063" width="11.28515625" style="36" customWidth="1"/>
    <col min="13064" max="13064" width="12.7109375" style="36" customWidth="1"/>
    <col min="13065" max="13065" width="9.42578125" style="36" bestFit="1" customWidth="1"/>
    <col min="13066" max="13066" width="10.5703125" style="36" customWidth="1"/>
    <col min="13067" max="13067" width="12.7109375" style="36" customWidth="1"/>
    <col min="13068" max="13312" width="9.140625" style="36"/>
    <col min="13313" max="13313" width="26.42578125" style="36" customWidth="1"/>
    <col min="13314" max="13314" width="12.7109375" style="36" customWidth="1"/>
    <col min="13315" max="13315" width="6.85546875" style="36" bestFit="1" customWidth="1"/>
    <col min="13316" max="13316" width="9.140625" style="36" customWidth="1"/>
    <col min="13317" max="13317" width="12.7109375" style="36" customWidth="1"/>
    <col min="13318" max="13318" width="7" style="36" bestFit="1" customWidth="1"/>
    <col min="13319" max="13319" width="11.28515625" style="36" customWidth="1"/>
    <col min="13320" max="13320" width="12.7109375" style="36" customWidth="1"/>
    <col min="13321" max="13321" width="9.42578125" style="36" bestFit="1" customWidth="1"/>
    <col min="13322" max="13322" width="10.5703125" style="36" customWidth="1"/>
    <col min="13323" max="13323" width="12.7109375" style="36" customWidth="1"/>
    <col min="13324" max="13568" width="9.140625" style="36"/>
    <col min="13569" max="13569" width="26.42578125" style="36" customWidth="1"/>
    <col min="13570" max="13570" width="12.7109375" style="36" customWidth="1"/>
    <col min="13571" max="13571" width="6.85546875" style="36" bestFit="1" customWidth="1"/>
    <col min="13572" max="13572" width="9.140625" style="36" customWidth="1"/>
    <col min="13573" max="13573" width="12.7109375" style="36" customWidth="1"/>
    <col min="13574" max="13574" width="7" style="36" bestFit="1" customWidth="1"/>
    <col min="13575" max="13575" width="11.28515625" style="36" customWidth="1"/>
    <col min="13576" max="13576" width="12.7109375" style="36" customWidth="1"/>
    <col min="13577" max="13577" width="9.42578125" style="36" bestFit="1" customWidth="1"/>
    <col min="13578" max="13578" width="10.5703125" style="36" customWidth="1"/>
    <col min="13579" max="13579" width="12.7109375" style="36" customWidth="1"/>
    <col min="13580" max="13824" width="9.140625" style="36"/>
    <col min="13825" max="13825" width="26.42578125" style="36" customWidth="1"/>
    <col min="13826" max="13826" width="12.7109375" style="36" customWidth="1"/>
    <col min="13827" max="13827" width="6.85546875" style="36" bestFit="1" customWidth="1"/>
    <col min="13828" max="13828" width="9.140625" style="36" customWidth="1"/>
    <col min="13829" max="13829" width="12.7109375" style="36" customWidth="1"/>
    <col min="13830" max="13830" width="7" style="36" bestFit="1" customWidth="1"/>
    <col min="13831" max="13831" width="11.28515625" style="36" customWidth="1"/>
    <col min="13832" max="13832" width="12.7109375" style="36" customWidth="1"/>
    <col min="13833" max="13833" width="9.42578125" style="36" bestFit="1" customWidth="1"/>
    <col min="13834" max="13834" width="10.5703125" style="36" customWidth="1"/>
    <col min="13835" max="13835" width="12.7109375" style="36" customWidth="1"/>
    <col min="13836" max="14080" width="9.140625" style="36"/>
    <col min="14081" max="14081" width="26.42578125" style="36" customWidth="1"/>
    <col min="14082" max="14082" width="12.7109375" style="36" customWidth="1"/>
    <col min="14083" max="14083" width="6.85546875" style="36" bestFit="1" customWidth="1"/>
    <col min="14084" max="14084" width="9.140625" style="36" customWidth="1"/>
    <col min="14085" max="14085" width="12.7109375" style="36" customWidth="1"/>
    <col min="14086" max="14086" width="7" style="36" bestFit="1" customWidth="1"/>
    <col min="14087" max="14087" width="11.28515625" style="36" customWidth="1"/>
    <col min="14088" max="14088" width="12.7109375" style="36" customWidth="1"/>
    <col min="14089" max="14089" width="9.42578125" style="36" bestFit="1" customWidth="1"/>
    <col min="14090" max="14090" width="10.5703125" style="36" customWidth="1"/>
    <col min="14091" max="14091" width="12.7109375" style="36" customWidth="1"/>
    <col min="14092" max="14336" width="9.140625" style="36"/>
    <col min="14337" max="14337" width="26.42578125" style="36" customWidth="1"/>
    <col min="14338" max="14338" width="12.7109375" style="36" customWidth="1"/>
    <col min="14339" max="14339" width="6.85546875" style="36" bestFit="1" customWidth="1"/>
    <col min="14340" max="14340" width="9.140625" style="36" customWidth="1"/>
    <col min="14341" max="14341" width="12.7109375" style="36" customWidth="1"/>
    <col min="14342" max="14342" width="7" style="36" bestFit="1" customWidth="1"/>
    <col min="14343" max="14343" width="11.28515625" style="36" customWidth="1"/>
    <col min="14344" max="14344" width="12.7109375" style="36" customWidth="1"/>
    <col min="14345" max="14345" width="9.42578125" style="36" bestFit="1" customWidth="1"/>
    <col min="14346" max="14346" width="10.5703125" style="36" customWidth="1"/>
    <col min="14347" max="14347" width="12.7109375" style="36" customWidth="1"/>
    <col min="14348" max="14592" width="9.140625" style="36"/>
    <col min="14593" max="14593" width="26.42578125" style="36" customWidth="1"/>
    <col min="14594" max="14594" width="12.7109375" style="36" customWidth="1"/>
    <col min="14595" max="14595" width="6.85546875" style="36" bestFit="1" customWidth="1"/>
    <col min="14596" max="14596" width="9.140625" style="36" customWidth="1"/>
    <col min="14597" max="14597" width="12.7109375" style="36" customWidth="1"/>
    <col min="14598" max="14598" width="7" style="36" bestFit="1" customWidth="1"/>
    <col min="14599" max="14599" width="11.28515625" style="36" customWidth="1"/>
    <col min="14600" max="14600" width="12.7109375" style="36" customWidth="1"/>
    <col min="14601" max="14601" width="9.42578125" style="36" bestFit="1" customWidth="1"/>
    <col min="14602" max="14602" width="10.5703125" style="36" customWidth="1"/>
    <col min="14603" max="14603" width="12.7109375" style="36" customWidth="1"/>
    <col min="14604" max="14848" width="9.140625" style="36"/>
    <col min="14849" max="14849" width="26.42578125" style="36" customWidth="1"/>
    <col min="14850" max="14850" width="12.7109375" style="36" customWidth="1"/>
    <col min="14851" max="14851" width="6.85546875" style="36" bestFit="1" customWidth="1"/>
    <col min="14852" max="14852" width="9.140625" style="36" customWidth="1"/>
    <col min="14853" max="14853" width="12.7109375" style="36" customWidth="1"/>
    <col min="14854" max="14854" width="7" style="36" bestFit="1" customWidth="1"/>
    <col min="14855" max="14855" width="11.28515625" style="36" customWidth="1"/>
    <col min="14856" max="14856" width="12.7109375" style="36" customWidth="1"/>
    <col min="14857" max="14857" width="9.42578125" style="36" bestFit="1" customWidth="1"/>
    <col min="14858" max="14858" width="10.5703125" style="36" customWidth="1"/>
    <col min="14859" max="14859" width="12.7109375" style="36" customWidth="1"/>
    <col min="14860" max="15104" width="9.140625" style="36"/>
    <col min="15105" max="15105" width="26.42578125" style="36" customWidth="1"/>
    <col min="15106" max="15106" width="12.7109375" style="36" customWidth="1"/>
    <col min="15107" max="15107" width="6.85546875" style="36" bestFit="1" customWidth="1"/>
    <col min="15108" max="15108" width="9.140625" style="36" customWidth="1"/>
    <col min="15109" max="15109" width="12.7109375" style="36" customWidth="1"/>
    <col min="15110" max="15110" width="7" style="36" bestFit="1" customWidth="1"/>
    <col min="15111" max="15111" width="11.28515625" style="36" customWidth="1"/>
    <col min="15112" max="15112" width="12.7109375" style="36" customWidth="1"/>
    <col min="15113" max="15113" width="9.42578125" style="36" bestFit="1" customWidth="1"/>
    <col min="15114" max="15114" width="10.5703125" style="36" customWidth="1"/>
    <col min="15115" max="15115" width="12.7109375" style="36" customWidth="1"/>
    <col min="15116" max="15360" width="9.140625" style="36"/>
    <col min="15361" max="15361" width="26.42578125" style="36" customWidth="1"/>
    <col min="15362" max="15362" width="12.7109375" style="36" customWidth="1"/>
    <col min="15363" max="15363" width="6.85546875" style="36" bestFit="1" customWidth="1"/>
    <col min="15364" max="15364" width="9.140625" style="36" customWidth="1"/>
    <col min="15365" max="15365" width="12.7109375" style="36" customWidth="1"/>
    <col min="15366" max="15366" width="7" style="36" bestFit="1" customWidth="1"/>
    <col min="15367" max="15367" width="11.28515625" style="36" customWidth="1"/>
    <col min="15368" max="15368" width="12.7109375" style="36" customWidth="1"/>
    <col min="15369" max="15369" width="9.42578125" style="36" bestFit="1" customWidth="1"/>
    <col min="15370" max="15370" width="10.5703125" style="36" customWidth="1"/>
    <col min="15371" max="15371" width="12.7109375" style="36" customWidth="1"/>
    <col min="15372" max="15616" width="9.140625" style="36"/>
    <col min="15617" max="15617" width="26.42578125" style="36" customWidth="1"/>
    <col min="15618" max="15618" width="12.7109375" style="36" customWidth="1"/>
    <col min="15619" max="15619" width="6.85546875" style="36" bestFit="1" customWidth="1"/>
    <col min="15620" max="15620" width="9.140625" style="36" customWidth="1"/>
    <col min="15621" max="15621" width="12.7109375" style="36" customWidth="1"/>
    <col min="15622" max="15622" width="7" style="36" bestFit="1" customWidth="1"/>
    <col min="15623" max="15623" width="11.28515625" style="36" customWidth="1"/>
    <col min="15624" max="15624" width="12.7109375" style="36" customWidth="1"/>
    <col min="15625" max="15625" width="9.42578125" style="36" bestFit="1" customWidth="1"/>
    <col min="15626" max="15626" width="10.5703125" style="36" customWidth="1"/>
    <col min="15627" max="15627" width="12.7109375" style="36" customWidth="1"/>
    <col min="15628" max="15872" width="9.140625" style="36"/>
    <col min="15873" max="15873" width="26.42578125" style="36" customWidth="1"/>
    <col min="15874" max="15874" width="12.7109375" style="36" customWidth="1"/>
    <col min="15875" max="15875" width="6.85546875" style="36" bestFit="1" customWidth="1"/>
    <col min="15876" max="15876" width="9.140625" style="36" customWidth="1"/>
    <col min="15877" max="15877" width="12.7109375" style="36" customWidth="1"/>
    <col min="15878" max="15878" width="7" style="36" bestFit="1" customWidth="1"/>
    <col min="15879" max="15879" width="11.28515625" style="36" customWidth="1"/>
    <col min="15880" max="15880" width="12.7109375" style="36" customWidth="1"/>
    <col min="15881" max="15881" width="9.42578125" style="36" bestFit="1" customWidth="1"/>
    <col min="15882" max="15882" width="10.5703125" style="36" customWidth="1"/>
    <col min="15883" max="15883" width="12.7109375" style="36" customWidth="1"/>
    <col min="15884" max="16128" width="9.140625" style="36"/>
    <col min="16129" max="16129" width="26.42578125" style="36" customWidth="1"/>
    <col min="16130" max="16130" width="12.7109375" style="36" customWidth="1"/>
    <col min="16131" max="16131" width="6.85546875" style="36" bestFit="1" customWidth="1"/>
    <col min="16132" max="16132" width="9.140625" style="36" customWidth="1"/>
    <col min="16133" max="16133" width="12.7109375" style="36" customWidth="1"/>
    <col min="16134" max="16134" width="7" style="36" bestFit="1" customWidth="1"/>
    <col min="16135" max="16135" width="11.28515625" style="36" customWidth="1"/>
    <col min="16136" max="16136" width="12.7109375" style="36" customWidth="1"/>
    <col min="16137" max="16137" width="9.42578125" style="36" bestFit="1" customWidth="1"/>
    <col min="16138" max="16138" width="10.5703125" style="36" customWidth="1"/>
    <col min="16139" max="16139" width="12.7109375" style="36" customWidth="1"/>
    <col min="16140" max="16384" width="9.140625" style="36"/>
  </cols>
  <sheetData>
    <row r="1" spans="1:11" x14ac:dyDescent="0.25">
      <c r="J1" s="294" t="s">
        <v>296</v>
      </c>
      <c r="K1" s="294"/>
    </row>
    <row r="2" spans="1:11" ht="35.25" customHeight="1" x14ac:dyDescent="0.25">
      <c r="H2" s="295" t="s">
        <v>565</v>
      </c>
      <c r="I2" s="295"/>
      <c r="J2" s="295"/>
      <c r="K2" s="295"/>
    </row>
    <row r="4" spans="1:11" x14ac:dyDescent="0.25">
      <c r="A4" s="306" t="s">
        <v>574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</row>
    <row r="6" spans="1:11" x14ac:dyDescent="0.25">
      <c r="A6" s="307"/>
      <c r="B6" s="308" t="s">
        <v>575</v>
      </c>
      <c r="C6" s="308"/>
      <c r="D6" s="308"/>
      <c r="E6" s="308" t="s">
        <v>576</v>
      </c>
      <c r="F6" s="308"/>
      <c r="G6" s="308"/>
      <c r="H6" s="308" t="s">
        <v>529</v>
      </c>
      <c r="I6" s="308"/>
      <c r="J6" s="308"/>
      <c r="K6" s="308"/>
    </row>
    <row r="7" spans="1:11" ht="22.5" customHeight="1" x14ac:dyDescent="0.25">
      <c r="A7" s="307"/>
      <c r="B7" s="309" t="s">
        <v>454</v>
      </c>
      <c r="C7" s="307" t="s">
        <v>297</v>
      </c>
      <c r="D7" s="307"/>
      <c r="E7" s="309" t="s">
        <v>577</v>
      </c>
      <c r="F7" s="307" t="s">
        <v>297</v>
      </c>
      <c r="G7" s="307"/>
      <c r="H7" s="309" t="s">
        <v>455</v>
      </c>
      <c r="I7" s="307" t="s">
        <v>297</v>
      </c>
      <c r="J7" s="307"/>
      <c r="K7" s="309" t="s">
        <v>578</v>
      </c>
    </row>
    <row r="8" spans="1:11" ht="30" x14ac:dyDescent="0.25">
      <c r="A8" s="307"/>
      <c r="B8" s="309"/>
      <c r="C8" s="186" t="s">
        <v>298</v>
      </c>
      <c r="D8" s="185" t="s">
        <v>299</v>
      </c>
      <c r="E8" s="309"/>
      <c r="F8" s="186" t="s">
        <v>298</v>
      </c>
      <c r="G8" s="185" t="s">
        <v>299</v>
      </c>
      <c r="H8" s="309"/>
      <c r="I8" s="186" t="s">
        <v>298</v>
      </c>
      <c r="J8" s="185" t="s">
        <v>299</v>
      </c>
      <c r="K8" s="309"/>
    </row>
    <row r="9" spans="1:11" ht="15.75" x14ac:dyDescent="0.25">
      <c r="A9" s="305" t="s">
        <v>300</v>
      </c>
      <c r="B9" s="305"/>
      <c r="C9" s="305"/>
      <c r="D9" s="305"/>
      <c r="E9" s="305"/>
      <c r="F9" s="305"/>
      <c r="G9" s="305"/>
      <c r="H9" s="305"/>
      <c r="I9" s="305"/>
      <c r="J9" s="305"/>
      <c r="K9" s="305"/>
    </row>
    <row r="10" spans="1:11" ht="15.75" x14ac:dyDescent="0.25">
      <c r="A10" s="53" t="s">
        <v>579</v>
      </c>
      <c r="B10" s="133">
        <v>8876</v>
      </c>
      <c r="C10" s="132">
        <v>1081</v>
      </c>
      <c r="D10" s="132">
        <v>51</v>
      </c>
      <c r="E10" s="133">
        <v>9354</v>
      </c>
      <c r="F10" s="133">
        <v>1501</v>
      </c>
      <c r="G10" s="134">
        <v>58</v>
      </c>
      <c r="H10" s="133">
        <v>9030</v>
      </c>
      <c r="I10" s="133">
        <v>1300</v>
      </c>
      <c r="J10" s="134">
        <v>53</v>
      </c>
      <c r="K10" s="133">
        <v>9000</v>
      </c>
    </row>
    <row r="11" spans="1:11" ht="15.75" x14ac:dyDescent="0.25">
      <c r="A11" s="53" t="s">
        <v>580</v>
      </c>
      <c r="B11" s="133">
        <v>16608</v>
      </c>
      <c r="C11" s="132">
        <v>1768</v>
      </c>
      <c r="D11" s="132">
        <v>74.8</v>
      </c>
      <c r="E11" s="133">
        <v>16914</v>
      </c>
      <c r="F11" s="133">
        <v>1894</v>
      </c>
      <c r="G11" s="134">
        <v>86.3</v>
      </c>
      <c r="H11" s="133">
        <v>18468</v>
      </c>
      <c r="I11" s="133">
        <v>1800</v>
      </c>
      <c r="J11" s="134">
        <v>79.2</v>
      </c>
      <c r="K11" s="133">
        <v>18000</v>
      </c>
    </row>
    <row r="12" spans="1:11" ht="15.75" x14ac:dyDescent="0.25">
      <c r="A12" s="53" t="s">
        <v>581</v>
      </c>
      <c r="B12" s="133">
        <v>18081</v>
      </c>
      <c r="C12" s="132">
        <v>1033</v>
      </c>
      <c r="D12" s="132">
        <v>39.200000000000003</v>
      </c>
      <c r="E12" s="133">
        <v>12941</v>
      </c>
      <c r="F12" s="133">
        <v>1283</v>
      </c>
      <c r="G12" s="134">
        <v>49</v>
      </c>
      <c r="H12" s="133">
        <v>13511</v>
      </c>
      <c r="I12" s="133">
        <v>1100</v>
      </c>
      <c r="J12" s="134">
        <v>46</v>
      </c>
      <c r="K12" s="133">
        <v>14200</v>
      </c>
    </row>
    <row r="13" spans="1:11" ht="15.75" x14ac:dyDescent="0.25">
      <c r="A13" s="54" t="s">
        <v>582</v>
      </c>
      <c r="B13" s="135">
        <f>B10+B11+B12</f>
        <v>43565</v>
      </c>
      <c r="C13" s="135">
        <f>C10+C11+C12</f>
        <v>3882</v>
      </c>
      <c r="D13" s="136">
        <f>D10+D11+D12</f>
        <v>165</v>
      </c>
      <c r="E13" s="135">
        <f>E10+E11+E12</f>
        <v>39209</v>
      </c>
      <c r="F13" s="135">
        <f t="shared" ref="F13:K13" si="0">F10+F11+F12</f>
        <v>4678</v>
      </c>
      <c r="G13" s="136">
        <f t="shared" si="0"/>
        <v>193.3</v>
      </c>
      <c r="H13" s="135">
        <f t="shared" si="0"/>
        <v>41009</v>
      </c>
      <c r="I13" s="135">
        <f t="shared" si="0"/>
        <v>4200</v>
      </c>
      <c r="J13" s="136">
        <f t="shared" si="0"/>
        <v>178.2</v>
      </c>
      <c r="K13" s="135">
        <f t="shared" si="0"/>
        <v>41200</v>
      </c>
    </row>
    <row r="14" spans="1:11" x14ac:dyDescent="0.2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</row>
    <row r="15" spans="1:11" x14ac:dyDescent="0.2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</row>
  </sheetData>
  <mergeCells count="15">
    <mergeCell ref="A9:K9"/>
    <mergeCell ref="J1:K1"/>
    <mergeCell ref="H2:K2"/>
    <mergeCell ref="A4:K4"/>
    <mergeCell ref="A6:A8"/>
    <mergeCell ref="B6:D6"/>
    <mergeCell ref="E6:G6"/>
    <mergeCell ref="H6:K6"/>
    <mergeCell ref="B7:B8"/>
    <mergeCell ref="C7:D7"/>
    <mergeCell ref="E7:E8"/>
    <mergeCell ref="F7:G7"/>
    <mergeCell ref="H7:H8"/>
    <mergeCell ref="I7:J7"/>
    <mergeCell ref="K7:K8"/>
  </mergeCells>
  <pageMargins left="0.51181102362204722" right="0.51181102362204722" top="0.94488188976377963" bottom="0.74803149606299213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2"/>
  <sheetViews>
    <sheetView view="pageBreakPreview" zoomScaleNormal="100" zoomScaleSheetLayoutView="100" workbookViewId="0">
      <selection activeCell="C18" sqref="C18"/>
    </sheetView>
  </sheetViews>
  <sheetFormatPr defaultRowHeight="15" x14ac:dyDescent="0.25"/>
  <cols>
    <col min="1" max="1" width="22.42578125" style="36" customWidth="1"/>
    <col min="2" max="2" width="7" style="36" customWidth="1"/>
    <col min="3" max="3" width="79.140625" style="36" customWidth="1"/>
    <col min="4" max="4" width="28" style="36" customWidth="1"/>
    <col min="5" max="5" width="27.42578125" style="36" customWidth="1"/>
    <col min="6" max="6" width="27.28515625" style="36" customWidth="1"/>
    <col min="7" max="256" width="9.140625" style="36"/>
    <col min="257" max="257" width="22.42578125" style="36" customWidth="1"/>
    <col min="258" max="258" width="7" style="36" customWidth="1"/>
    <col min="259" max="259" width="79.140625" style="36" customWidth="1"/>
    <col min="260" max="260" width="28" style="36" customWidth="1"/>
    <col min="261" max="261" width="27.42578125" style="36" customWidth="1"/>
    <col min="262" max="262" width="27.28515625" style="36" customWidth="1"/>
    <col min="263" max="512" width="9.140625" style="36"/>
    <col min="513" max="513" width="22.42578125" style="36" customWidth="1"/>
    <col min="514" max="514" width="7" style="36" customWidth="1"/>
    <col min="515" max="515" width="79.140625" style="36" customWidth="1"/>
    <col min="516" max="516" width="28" style="36" customWidth="1"/>
    <col min="517" max="517" width="27.42578125" style="36" customWidth="1"/>
    <col min="518" max="518" width="27.28515625" style="36" customWidth="1"/>
    <col min="519" max="768" width="9.140625" style="36"/>
    <col min="769" max="769" width="22.42578125" style="36" customWidth="1"/>
    <col min="770" max="770" width="7" style="36" customWidth="1"/>
    <col min="771" max="771" width="79.140625" style="36" customWidth="1"/>
    <col min="772" max="772" width="28" style="36" customWidth="1"/>
    <col min="773" max="773" width="27.42578125" style="36" customWidth="1"/>
    <col min="774" max="774" width="27.28515625" style="36" customWidth="1"/>
    <col min="775" max="1024" width="9.140625" style="36"/>
    <col min="1025" max="1025" width="22.42578125" style="36" customWidth="1"/>
    <col min="1026" max="1026" width="7" style="36" customWidth="1"/>
    <col min="1027" max="1027" width="79.140625" style="36" customWidth="1"/>
    <col min="1028" max="1028" width="28" style="36" customWidth="1"/>
    <col min="1029" max="1029" width="27.42578125" style="36" customWidth="1"/>
    <col min="1030" max="1030" width="27.28515625" style="36" customWidth="1"/>
    <col min="1031" max="1280" width="9.140625" style="36"/>
    <col min="1281" max="1281" width="22.42578125" style="36" customWidth="1"/>
    <col min="1282" max="1282" width="7" style="36" customWidth="1"/>
    <col min="1283" max="1283" width="79.140625" style="36" customWidth="1"/>
    <col min="1284" max="1284" width="28" style="36" customWidth="1"/>
    <col min="1285" max="1285" width="27.42578125" style="36" customWidth="1"/>
    <col min="1286" max="1286" width="27.28515625" style="36" customWidth="1"/>
    <col min="1287" max="1536" width="9.140625" style="36"/>
    <col min="1537" max="1537" width="22.42578125" style="36" customWidth="1"/>
    <col min="1538" max="1538" width="7" style="36" customWidth="1"/>
    <col min="1539" max="1539" width="79.140625" style="36" customWidth="1"/>
    <col min="1540" max="1540" width="28" style="36" customWidth="1"/>
    <col min="1541" max="1541" width="27.42578125" style="36" customWidth="1"/>
    <col min="1542" max="1542" width="27.28515625" style="36" customWidth="1"/>
    <col min="1543" max="1792" width="9.140625" style="36"/>
    <col min="1793" max="1793" width="22.42578125" style="36" customWidth="1"/>
    <col min="1794" max="1794" width="7" style="36" customWidth="1"/>
    <col min="1795" max="1795" width="79.140625" style="36" customWidth="1"/>
    <col min="1796" max="1796" width="28" style="36" customWidth="1"/>
    <col min="1797" max="1797" width="27.42578125" style="36" customWidth="1"/>
    <col min="1798" max="1798" width="27.28515625" style="36" customWidth="1"/>
    <col min="1799" max="2048" width="9.140625" style="36"/>
    <col min="2049" max="2049" width="22.42578125" style="36" customWidth="1"/>
    <col min="2050" max="2050" width="7" style="36" customWidth="1"/>
    <col min="2051" max="2051" width="79.140625" style="36" customWidth="1"/>
    <col min="2052" max="2052" width="28" style="36" customWidth="1"/>
    <col min="2053" max="2053" width="27.42578125" style="36" customWidth="1"/>
    <col min="2054" max="2054" width="27.28515625" style="36" customWidth="1"/>
    <col min="2055" max="2304" width="9.140625" style="36"/>
    <col min="2305" max="2305" width="22.42578125" style="36" customWidth="1"/>
    <col min="2306" max="2306" width="7" style="36" customWidth="1"/>
    <col min="2307" max="2307" width="79.140625" style="36" customWidth="1"/>
    <col min="2308" max="2308" width="28" style="36" customWidth="1"/>
    <col min="2309" max="2309" width="27.42578125" style="36" customWidth="1"/>
    <col min="2310" max="2310" width="27.28515625" style="36" customWidth="1"/>
    <col min="2311" max="2560" width="9.140625" style="36"/>
    <col min="2561" max="2561" width="22.42578125" style="36" customWidth="1"/>
    <col min="2562" max="2562" width="7" style="36" customWidth="1"/>
    <col min="2563" max="2563" width="79.140625" style="36" customWidth="1"/>
    <col min="2564" max="2564" width="28" style="36" customWidth="1"/>
    <col min="2565" max="2565" width="27.42578125" style="36" customWidth="1"/>
    <col min="2566" max="2566" width="27.28515625" style="36" customWidth="1"/>
    <col min="2567" max="2816" width="9.140625" style="36"/>
    <col min="2817" max="2817" width="22.42578125" style="36" customWidth="1"/>
    <col min="2818" max="2818" width="7" style="36" customWidth="1"/>
    <col min="2819" max="2819" width="79.140625" style="36" customWidth="1"/>
    <col min="2820" max="2820" width="28" style="36" customWidth="1"/>
    <col min="2821" max="2821" width="27.42578125" style="36" customWidth="1"/>
    <col min="2822" max="2822" width="27.28515625" style="36" customWidth="1"/>
    <col min="2823" max="3072" width="9.140625" style="36"/>
    <col min="3073" max="3073" width="22.42578125" style="36" customWidth="1"/>
    <col min="3074" max="3074" width="7" style="36" customWidth="1"/>
    <col min="3075" max="3075" width="79.140625" style="36" customWidth="1"/>
    <col min="3076" max="3076" width="28" style="36" customWidth="1"/>
    <col min="3077" max="3077" width="27.42578125" style="36" customWidth="1"/>
    <col min="3078" max="3078" width="27.28515625" style="36" customWidth="1"/>
    <col min="3079" max="3328" width="9.140625" style="36"/>
    <col min="3329" max="3329" width="22.42578125" style="36" customWidth="1"/>
    <col min="3330" max="3330" width="7" style="36" customWidth="1"/>
    <col min="3331" max="3331" width="79.140625" style="36" customWidth="1"/>
    <col min="3332" max="3332" width="28" style="36" customWidth="1"/>
    <col min="3333" max="3333" width="27.42578125" style="36" customWidth="1"/>
    <col min="3334" max="3334" width="27.28515625" style="36" customWidth="1"/>
    <col min="3335" max="3584" width="9.140625" style="36"/>
    <col min="3585" max="3585" width="22.42578125" style="36" customWidth="1"/>
    <col min="3586" max="3586" width="7" style="36" customWidth="1"/>
    <col min="3587" max="3587" width="79.140625" style="36" customWidth="1"/>
    <col min="3588" max="3588" width="28" style="36" customWidth="1"/>
    <col min="3589" max="3589" width="27.42578125" style="36" customWidth="1"/>
    <col min="3590" max="3590" width="27.28515625" style="36" customWidth="1"/>
    <col min="3591" max="3840" width="9.140625" style="36"/>
    <col min="3841" max="3841" width="22.42578125" style="36" customWidth="1"/>
    <col min="3842" max="3842" width="7" style="36" customWidth="1"/>
    <col min="3843" max="3843" width="79.140625" style="36" customWidth="1"/>
    <col min="3844" max="3844" width="28" style="36" customWidth="1"/>
    <col min="3845" max="3845" width="27.42578125" style="36" customWidth="1"/>
    <col min="3846" max="3846" width="27.28515625" style="36" customWidth="1"/>
    <col min="3847" max="4096" width="9.140625" style="36"/>
    <col min="4097" max="4097" width="22.42578125" style="36" customWidth="1"/>
    <col min="4098" max="4098" width="7" style="36" customWidth="1"/>
    <col min="4099" max="4099" width="79.140625" style="36" customWidth="1"/>
    <col min="4100" max="4100" width="28" style="36" customWidth="1"/>
    <col min="4101" max="4101" width="27.42578125" style="36" customWidth="1"/>
    <col min="4102" max="4102" width="27.28515625" style="36" customWidth="1"/>
    <col min="4103" max="4352" width="9.140625" style="36"/>
    <col min="4353" max="4353" width="22.42578125" style="36" customWidth="1"/>
    <col min="4354" max="4354" width="7" style="36" customWidth="1"/>
    <col min="4355" max="4355" width="79.140625" style="36" customWidth="1"/>
    <col min="4356" max="4356" width="28" style="36" customWidth="1"/>
    <col min="4357" max="4357" width="27.42578125" style="36" customWidth="1"/>
    <col min="4358" max="4358" width="27.28515625" style="36" customWidth="1"/>
    <col min="4359" max="4608" width="9.140625" style="36"/>
    <col min="4609" max="4609" width="22.42578125" style="36" customWidth="1"/>
    <col min="4610" max="4610" width="7" style="36" customWidth="1"/>
    <col min="4611" max="4611" width="79.140625" style="36" customWidth="1"/>
    <col min="4612" max="4612" width="28" style="36" customWidth="1"/>
    <col min="4613" max="4613" width="27.42578125" style="36" customWidth="1"/>
    <col min="4614" max="4614" width="27.28515625" style="36" customWidth="1"/>
    <col min="4615" max="4864" width="9.140625" style="36"/>
    <col min="4865" max="4865" width="22.42578125" style="36" customWidth="1"/>
    <col min="4866" max="4866" width="7" style="36" customWidth="1"/>
    <col min="4867" max="4867" width="79.140625" style="36" customWidth="1"/>
    <col min="4868" max="4868" width="28" style="36" customWidth="1"/>
    <col min="4869" max="4869" width="27.42578125" style="36" customWidth="1"/>
    <col min="4870" max="4870" width="27.28515625" style="36" customWidth="1"/>
    <col min="4871" max="5120" width="9.140625" style="36"/>
    <col min="5121" max="5121" width="22.42578125" style="36" customWidth="1"/>
    <col min="5122" max="5122" width="7" style="36" customWidth="1"/>
    <col min="5123" max="5123" width="79.140625" style="36" customWidth="1"/>
    <col min="5124" max="5124" width="28" style="36" customWidth="1"/>
    <col min="5125" max="5125" width="27.42578125" style="36" customWidth="1"/>
    <col min="5126" max="5126" width="27.28515625" style="36" customWidth="1"/>
    <col min="5127" max="5376" width="9.140625" style="36"/>
    <col min="5377" max="5377" width="22.42578125" style="36" customWidth="1"/>
    <col min="5378" max="5378" width="7" style="36" customWidth="1"/>
    <col min="5379" max="5379" width="79.140625" style="36" customWidth="1"/>
    <col min="5380" max="5380" width="28" style="36" customWidth="1"/>
    <col min="5381" max="5381" width="27.42578125" style="36" customWidth="1"/>
    <col min="5382" max="5382" width="27.28515625" style="36" customWidth="1"/>
    <col min="5383" max="5632" width="9.140625" style="36"/>
    <col min="5633" max="5633" width="22.42578125" style="36" customWidth="1"/>
    <col min="5634" max="5634" width="7" style="36" customWidth="1"/>
    <col min="5635" max="5635" width="79.140625" style="36" customWidth="1"/>
    <col min="5636" max="5636" width="28" style="36" customWidth="1"/>
    <col min="5637" max="5637" width="27.42578125" style="36" customWidth="1"/>
    <col min="5638" max="5638" width="27.28515625" style="36" customWidth="1"/>
    <col min="5639" max="5888" width="9.140625" style="36"/>
    <col min="5889" max="5889" width="22.42578125" style="36" customWidth="1"/>
    <col min="5890" max="5890" width="7" style="36" customWidth="1"/>
    <col min="5891" max="5891" width="79.140625" style="36" customWidth="1"/>
    <col min="5892" max="5892" width="28" style="36" customWidth="1"/>
    <col min="5893" max="5893" width="27.42578125" style="36" customWidth="1"/>
    <col min="5894" max="5894" width="27.28515625" style="36" customWidth="1"/>
    <col min="5895" max="6144" width="9.140625" style="36"/>
    <col min="6145" max="6145" width="22.42578125" style="36" customWidth="1"/>
    <col min="6146" max="6146" width="7" style="36" customWidth="1"/>
    <col min="6147" max="6147" width="79.140625" style="36" customWidth="1"/>
    <col min="6148" max="6148" width="28" style="36" customWidth="1"/>
    <col min="6149" max="6149" width="27.42578125" style="36" customWidth="1"/>
    <col min="6150" max="6150" width="27.28515625" style="36" customWidth="1"/>
    <col min="6151" max="6400" width="9.140625" style="36"/>
    <col min="6401" max="6401" width="22.42578125" style="36" customWidth="1"/>
    <col min="6402" max="6402" width="7" style="36" customWidth="1"/>
    <col min="6403" max="6403" width="79.140625" style="36" customWidth="1"/>
    <col min="6404" max="6404" width="28" style="36" customWidth="1"/>
    <col min="6405" max="6405" width="27.42578125" style="36" customWidth="1"/>
    <col min="6406" max="6406" width="27.28515625" style="36" customWidth="1"/>
    <col min="6407" max="6656" width="9.140625" style="36"/>
    <col min="6657" max="6657" width="22.42578125" style="36" customWidth="1"/>
    <col min="6658" max="6658" width="7" style="36" customWidth="1"/>
    <col min="6659" max="6659" width="79.140625" style="36" customWidth="1"/>
    <col min="6660" max="6660" width="28" style="36" customWidth="1"/>
    <col min="6661" max="6661" width="27.42578125" style="36" customWidth="1"/>
    <col min="6662" max="6662" width="27.28515625" style="36" customWidth="1"/>
    <col min="6663" max="6912" width="9.140625" style="36"/>
    <col min="6913" max="6913" width="22.42578125" style="36" customWidth="1"/>
    <col min="6914" max="6914" width="7" style="36" customWidth="1"/>
    <col min="6915" max="6915" width="79.140625" style="36" customWidth="1"/>
    <col min="6916" max="6916" width="28" style="36" customWidth="1"/>
    <col min="6917" max="6917" width="27.42578125" style="36" customWidth="1"/>
    <col min="6918" max="6918" width="27.28515625" style="36" customWidth="1"/>
    <col min="6919" max="7168" width="9.140625" style="36"/>
    <col min="7169" max="7169" width="22.42578125" style="36" customWidth="1"/>
    <col min="7170" max="7170" width="7" style="36" customWidth="1"/>
    <col min="7171" max="7171" width="79.140625" style="36" customWidth="1"/>
    <col min="7172" max="7172" width="28" style="36" customWidth="1"/>
    <col min="7173" max="7173" width="27.42578125" style="36" customWidth="1"/>
    <col min="7174" max="7174" width="27.28515625" style="36" customWidth="1"/>
    <col min="7175" max="7424" width="9.140625" style="36"/>
    <col min="7425" max="7425" width="22.42578125" style="36" customWidth="1"/>
    <col min="7426" max="7426" width="7" style="36" customWidth="1"/>
    <col min="7427" max="7427" width="79.140625" style="36" customWidth="1"/>
    <col min="7428" max="7428" width="28" style="36" customWidth="1"/>
    <col min="7429" max="7429" width="27.42578125" style="36" customWidth="1"/>
    <col min="7430" max="7430" width="27.28515625" style="36" customWidth="1"/>
    <col min="7431" max="7680" width="9.140625" style="36"/>
    <col min="7681" max="7681" width="22.42578125" style="36" customWidth="1"/>
    <col min="7682" max="7682" width="7" style="36" customWidth="1"/>
    <col min="7683" max="7683" width="79.140625" style="36" customWidth="1"/>
    <col min="7684" max="7684" width="28" style="36" customWidth="1"/>
    <col min="7685" max="7685" width="27.42578125" style="36" customWidth="1"/>
    <col min="7686" max="7686" width="27.28515625" style="36" customWidth="1"/>
    <col min="7687" max="7936" width="9.140625" style="36"/>
    <col min="7937" max="7937" width="22.42578125" style="36" customWidth="1"/>
    <col min="7938" max="7938" width="7" style="36" customWidth="1"/>
    <col min="7939" max="7939" width="79.140625" style="36" customWidth="1"/>
    <col min="7940" max="7940" width="28" style="36" customWidth="1"/>
    <col min="7941" max="7941" width="27.42578125" style="36" customWidth="1"/>
    <col min="7942" max="7942" width="27.28515625" style="36" customWidth="1"/>
    <col min="7943" max="8192" width="9.140625" style="36"/>
    <col min="8193" max="8193" width="22.42578125" style="36" customWidth="1"/>
    <col min="8194" max="8194" width="7" style="36" customWidth="1"/>
    <col min="8195" max="8195" width="79.140625" style="36" customWidth="1"/>
    <col min="8196" max="8196" width="28" style="36" customWidth="1"/>
    <col min="8197" max="8197" width="27.42578125" style="36" customWidth="1"/>
    <col min="8198" max="8198" width="27.28515625" style="36" customWidth="1"/>
    <col min="8199" max="8448" width="9.140625" style="36"/>
    <col min="8449" max="8449" width="22.42578125" style="36" customWidth="1"/>
    <col min="8450" max="8450" width="7" style="36" customWidth="1"/>
    <col min="8451" max="8451" width="79.140625" style="36" customWidth="1"/>
    <col min="8452" max="8452" width="28" style="36" customWidth="1"/>
    <col min="8453" max="8453" width="27.42578125" style="36" customWidth="1"/>
    <col min="8454" max="8454" width="27.28515625" style="36" customWidth="1"/>
    <col min="8455" max="8704" width="9.140625" style="36"/>
    <col min="8705" max="8705" width="22.42578125" style="36" customWidth="1"/>
    <col min="8706" max="8706" width="7" style="36" customWidth="1"/>
    <col min="8707" max="8707" width="79.140625" style="36" customWidth="1"/>
    <col min="8708" max="8708" width="28" style="36" customWidth="1"/>
    <col min="8709" max="8709" width="27.42578125" style="36" customWidth="1"/>
    <col min="8710" max="8710" width="27.28515625" style="36" customWidth="1"/>
    <col min="8711" max="8960" width="9.140625" style="36"/>
    <col min="8961" max="8961" width="22.42578125" style="36" customWidth="1"/>
    <col min="8962" max="8962" width="7" style="36" customWidth="1"/>
    <col min="8963" max="8963" width="79.140625" style="36" customWidth="1"/>
    <col min="8964" max="8964" width="28" style="36" customWidth="1"/>
    <col min="8965" max="8965" width="27.42578125" style="36" customWidth="1"/>
    <col min="8966" max="8966" width="27.28515625" style="36" customWidth="1"/>
    <col min="8967" max="9216" width="9.140625" style="36"/>
    <col min="9217" max="9217" width="22.42578125" style="36" customWidth="1"/>
    <col min="9218" max="9218" width="7" style="36" customWidth="1"/>
    <col min="9219" max="9219" width="79.140625" style="36" customWidth="1"/>
    <col min="9220" max="9220" width="28" style="36" customWidth="1"/>
    <col min="9221" max="9221" width="27.42578125" style="36" customWidth="1"/>
    <col min="9222" max="9222" width="27.28515625" style="36" customWidth="1"/>
    <col min="9223" max="9472" width="9.140625" style="36"/>
    <col min="9473" max="9473" width="22.42578125" style="36" customWidth="1"/>
    <col min="9474" max="9474" width="7" style="36" customWidth="1"/>
    <col min="9475" max="9475" width="79.140625" style="36" customWidth="1"/>
    <col min="9476" max="9476" width="28" style="36" customWidth="1"/>
    <col min="9477" max="9477" width="27.42578125" style="36" customWidth="1"/>
    <col min="9478" max="9478" width="27.28515625" style="36" customWidth="1"/>
    <col min="9479" max="9728" width="9.140625" style="36"/>
    <col min="9729" max="9729" width="22.42578125" style="36" customWidth="1"/>
    <col min="9730" max="9730" width="7" style="36" customWidth="1"/>
    <col min="9731" max="9731" width="79.140625" style="36" customWidth="1"/>
    <col min="9732" max="9732" width="28" style="36" customWidth="1"/>
    <col min="9733" max="9733" width="27.42578125" style="36" customWidth="1"/>
    <col min="9734" max="9734" width="27.28515625" style="36" customWidth="1"/>
    <col min="9735" max="9984" width="9.140625" style="36"/>
    <col min="9985" max="9985" width="22.42578125" style="36" customWidth="1"/>
    <col min="9986" max="9986" width="7" style="36" customWidth="1"/>
    <col min="9987" max="9987" width="79.140625" style="36" customWidth="1"/>
    <col min="9988" max="9988" width="28" style="36" customWidth="1"/>
    <col min="9989" max="9989" width="27.42578125" style="36" customWidth="1"/>
    <col min="9990" max="9990" width="27.28515625" style="36" customWidth="1"/>
    <col min="9991" max="10240" width="9.140625" style="36"/>
    <col min="10241" max="10241" width="22.42578125" style="36" customWidth="1"/>
    <col min="10242" max="10242" width="7" style="36" customWidth="1"/>
    <col min="10243" max="10243" width="79.140625" style="36" customWidth="1"/>
    <col min="10244" max="10244" width="28" style="36" customWidth="1"/>
    <col min="10245" max="10245" width="27.42578125" style="36" customWidth="1"/>
    <col min="10246" max="10246" width="27.28515625" style="36" customWidth="1"/>
    <col min="10247" max="10496" width="9.140625" style="36"/>
    <col min="10497" max="10497" width="22.42578125" style="36" customWidth="1"/>
    <col min="10498" max="10498" width="7" style="36" customWidth="1"/>
    <col min="10499" max="10499" width="79.140625" style="36" customWidth="1"/>
    <col min="10500" max="10500" width="28" style="36" customWidth="1"/>
    <col min="10501" max="10501" width="27.42578125" style="36" customWidth="1"/>
    <col min="10502" max="10502" width="27.28515625" style="36" customWidth="1"/>
    <col min="10503" max="10752" width="9.140625" style="36"/>
    <col min="10753" max="10753" width="22.42578125" style="36" customWidth="1"/>
    <col min="10754" max="10754" width="7" style="36" customWidth="1"/>
    <col min="10755" max="10755" width="79.140625" style="36" customWidth="1"/>
    <col min="10756" max="10756" width="28" style="36" customWidth="1"/>
    <col min="10757" max="10757" width="27.42578125" style="36" customWidth="1"/>
    <col min="10758" max="10758" width="27.28515625" style="36" customWidth="1"/>
    <col min="10759" max="11008" width="9.140625" style="36"/>
    <col min="11009" max="11009" width="22.42578125" style="36" customWidth="1"/>
    <col min="11010" max="11010" width="7" style="36" customWidth="1"/>
    <col min="11011" max="11011" width="79.140625" style="36" customWidth="1"/>
    <col min="11012" max="11012" width="28" style="36" customWidth="1"/>
    <col min="11013" max="11013" width="27.42578125" style="36" customWidth="1"/>
    <col min="11014" max="11014" width="27.28515625" style="36" customWidth="1"/>
    <col min="11015" max="11264" width="9.140625" style="36"/>
    <col min="11265" max="11265" width="22.42578125" style="36" customWidth="1"/>
    <col min="11266" max="11266" width="7" style="36" customWidth="1"/>
    <col min="11267" max="11267" width="79.140625" style="36" customWidth="1"/>
    <col min="11268" max="11268" width="28" style="36" customWidth="1"/>
    <col min="11269" max="11269" width="27.42578125" style="36" customWidth="1"/>
    <col min="11270" max="11270" width="27.28515625" style="36" customWidth="1"/>
    <col min="11271" max="11520" width="9.140625" style="36"/>
    <col min="11521" max="11521" width="22.42578125" style="36" customWidth="1"/>
    <col min="11522" max="11522" width="7" style="36" customWidth="1"/>
    <col min="11523" max="11523" width="79.140625" style="36" customWidth="1"/>
    <col min="11524" max="11524" width="28" style="36" customWidth="1"/>
    <col min="11525" max="11525" width="27.42578125" style="36" customWidth="1"/>
    <col min="11526" max="11526" width="27.28515625" style="36" customWidth="1"/>
    <col min="11527" max="11776" width="9.140625" style="36"/>
    <col min="11777" max="11777" width="22.42578125" style="36" customWidth="1"/>
    <col min="11778" max="11778" width="7" style="36" customWidth="1"/>
    <col min="11779" max="11779" width="79.140625" style="36" customWidth="1"/>
    <col min="11780" max="11780" width="28" style="36" customWidth="1"/>
    <col min="11781" max="11781" width="27.42578125" style="36" customWidth="1"/>
    <col min="11782" max="11782" width="27.28515625" style="36" customWidth="1"/>
    <col min="11783" max="12032" width="9.140625" style="36"/>
    <col min="12033" max="12033" width="22.42578125" style="36" customWidth="1"/>
    <col min="12034" max="12034" width="7" style="36" customWidth="1"/>
    <col min="12035" max="12035" width="79.140625" style="36" customWidth="1"/>
    <col min="12036" max="12036" width="28" style="36" customWidth="1"/>
    <col min="12037" max="12037" width="27.42578125" style="36" customWidth="1"/>
    <col min="12038" max="12038" width="27.28515625" style="36" customWidth="1"/>
    <col min="12039" max="12288" width="9.140625" style="36"/>
    <col min="12289" max="12289" width="22.42578125" style="36" customWidth="1"/>
    <col min="12290" max="12290" width="7" style="36" customWidth="1"/>
    <col min="12291" max="12291" width="79.140625" style="36" customWidth="1"/>
    <col min="12292" max="12292" width="28" style="36" customWidth="1"/>
    <col min="12293" max="12293" width="27.42578125" style="36" customWidth="1"/>
    <col min="12294" max="12294" width="27.28515625" style="36" customWidth="1"/>
    <col min="12295" max="12544" width="9.140625" style="36"/>
    <col min="12545" max="12545" width="22.42578125" style="36" customWidth="1"/>
    <col min="12546" max="12546" width="7" style="36" customWidth="1"/>
    <col min="12547" max="12547" width="79.140625" style="36" customWidth="1"/>
    <col min="12548" max="12548" width="28" style="36" customWidth="1"/>
    <col min="12549" max="12549" width="27.42578125" style="36" customWidth="1"/>
    <col min="12550" max="12550" width="27.28515625" style="36" customWidth="1"/>
    <col min="12551" max="12800" width="9.140625" style="36"/>
    <col min="12801" max="12801" width="22.42578125" style="36" customWidth="1"/>
    <col min="12802" max="12802" width="7" style="36" customWidth="1"/>
    <col min="12803" max="12803" width="79.140625" style="36" customWidth="1"/>
    <col min="12804" max="12804" width="28" style="36" customWidth="1"/>
    <col min="12805" max="12805" width="27.42578125" style="36" customWidth="1"/>
    <col min="12806" max="12806" width="27.28515625" style="36" customWidth="1"/>
    <col min="12807" max="13056" width="9.140625" style="36"/>
    <col min="13057" max="13057" width="22.42578125" style="36" customWidth="1"/>
    <col min="13058" max="13058" width="7" style="36" customWidth="1"/>
    <col min="13059" max="13059" width="79.140625" style="36" customWidth="1"/>
    <col min="13060" max="13060" width="28" style="36" customWidth="1"/>
    <col min="13061" max="13061" width="27.42578125" style="36" customWidth="1"/>
    <col min="13062" max="13062" width="27.28515625" style="36" customWidth="1"/>
    <col min="13063" max="13312" width="9.140625" style="36"/>
    <col min="13313" max="13313" width="22.42578125" style="36" customWidth="1"/>
    <col min="13314" max="13314" width="7" style="36" customWidth="1"/>
    <col min="13315" max="13315" width="79.140625" style="36" customWidth="1"/>
    <col min="13316" max="13316" width="28" style="36" customWidth="1"/>
    <col min="13317" max="13317" width="27.42578125" style="36" customWidth="1"/>
    <col min="13318" max="13318" width="27.28515625" style="36" customWidth="1"/>
    <col min="13319" max="13568" width="9.140625" style="36"/>
    <col min="13569" max="13569" width="22.42578125" style="36" customWidth="1"/>
    <col min="13570" max="13570" width="7" style="36" customWidth="1"/>
    <col min="13571" max="13571" width="79.140625" style="36" customWidth="1"/>
    <col min="13572" max="13572" width="28" style="36" customWidth="1"/>
    <col min="13573" max="13573" width="27.42578125" style="36" customWidth="1"/>
    <col min="13574" max="13574" width="27.28515625" style="36" customWidth="1"/>
    <col min="13575" max="13824" width="9.140625" style="36"/>
    <col min="13825" max="13825" width="22.42578125" style="36" customWidth="1"/>
    <col min="13826" max="13826" width="7" style="36" customWidth="1"/>
    <col min="13827" max="13827" width="79.140625" style="36" customWidth="1"/>
    <col min="13828" max="13828" width="28" style="36" customWidth="1"/>
    <col min="13829" max="13829" width="27.42578125" style="36" customWidth="1"/>
    <col min="13830" max="13830" width="27.28515625" style="36" customWidth="1"/>
    <col min="13831" max="14080" width="9.140625" style="36"/>
    <col min="14081" max="14081" width="22.42578125" style="36" customWidth="1"/>
    <col min="14082" max="14082" width="7" style="36" customWidth="1"/>
    <col min="14083" max="14083" width="79.140625" style="36" customWidth="1"/>
    <col min="14084" max="14084" width="28" style="36" customWidth="1"/>
    <col min="14085" max="14085" width="27.42578125" style="36" customWidth="1"/>
    <col min="14086" max="14086" width="27.28515625" style="36" customWidth="1"/>
    <col min="14087" max="14336" width="9.140625" style="36"/>
    <col min="14337" max="14337" width="22.42578125" style="36" customWidth="1"/>
    <col min="14338" max="14338" width="7" style="36" customWidth="1"/>
    <col min="14339" max="14339" width="79.140625" style="36" customWidth="1"/>
    <col min="14340" max="14340" width="28" style="36" customWidth="1"/>
    <col min="14341" max="14341" width="27.42578125" style="36" customWidth="1"/>
    <col min="14342" max="14342" width="27.28515625" style="36" customWidth="1"/>
    <col min="14343" max="14592" width="9.140625" style="36"/>
    <col min="14593" max="14593" width="22.42578125" style="36" customWidth="1"/>
    <col min="14594" max="14594" width="7" style="36" customWidth="1"/>
    <col min="14595" max="14595" width="79.140625" style="36" customWidth="1"/>
    <col min="14596" max="14596" width="28" style="36" customWidth="1"/>
    <col min="14597" max="14597" width="27.42578125" style="36" customWidth="1"/>
    <col min="14598" max="14598" width="27.28515625" style="36" customWidth="1"/>
    <col min="14599" max="14848" width="9.140625" style="36"/>
    <col min="14849" max="14849" width="22.42578125" style="36" customWidth="1"/>
    <col min="14850" max="14850" width="7" style="36" customWidth="1"/>
    <col min="14851" max="14851" width="79.140625" style="36" customWidth="1"/>
    <col min="14852" max="14852" width="28" style="36" customWidth="1"/>
    <col min="14853" max="14853" width="27.42578125" style="36" customWidth="1"/>
    <col min="14854" max="14854" width="27.28515625" style="36" customWidth="1"/>
    <col min="14855" max="15104" width="9.140625" style="36"/>
    <col min="15105" max="15105" width="22.42578125" style="36" customWidth="1"/>
    <col min="15106" max="15106" width="7" style="36" customWidth="1"/>
    <col min="15107" max="15107" width="79.140625" style="36" customWidth="1"/>
    <col min="15108" max="15108" width="28" style="36" customWidth="1"/>
    <col min="15109" max="15109" width="27.42578125" style="36" customWidth="1"/>
    <col min="15110" max="15110" width="27.28515625" style="36" customWidth="1"/>
    <col min="15111" max="15360" width="9.140625" style="36"/>
    <col min="15361" max="15361" width="22.42578125" style="36" customWidth="1"/>
    <col min="15362" max="15362" width="7" style="36" customWidth="1"/>
    <col min="15363" max="15363" width="79.140625" style="36" customWidth="1"/>
    <col min="15364" max="15364" width="28" style="36" customWidth="1"/>
    <col min="15365" max="15365" width="27.42578125" style="36" customWidth="1"/>
    <col min="15366" max="15366" width="27.28515625" style="36" customWidth="1"/>
    <col min="15367" max="15616" width="9.140625" style="36"/>
    <col min="15617" max="15617" width="22.42578125" style="36" customWidth="1"/>
    <col min="15618" max="15618" width="7" style="36" customWidth="1"/>
    <col min="15619" max="15619" width="79.140625" style="36" customWidth="1"/>
    <col min="15620" max="15620" width="28" style="36" customWidth="1"/>
    <col min="15621" max="15621" width="27.42578125" style="36" customWidth="1"/>
    <col min="15622" max="15622" width="27.28515625" style="36" customWidth="1"/>
    <col min="15623" max="15872" width="9.140625" style="36"/>
    <col min="15873" max="15873" width="22.42578125" style="36" customWidth="1"/>
    <col min="15874" max="15874" width="7" style="36" customWidth="1"/>
    <col min="15875" max="15875" width="79.140625" style="36" customWidth="1"/>
    <col min="15876" max="15876" width="28" style="36" customWidth="1"/>
    <col min="15877" max="15877" width="27.42578125" style="36" customWidth="1"/>
    <col min="15878" max="15878" width="27.28515625" style="36" customWidth="1"/>
    <col min="15879" max="16128" width="9.140625" style="36"/>
    <col min="16129" max="16129" width="22.42578125" style="36" customWidth="1"/>
    <col min="16130" max="16130" width="7" style="36" customWidth="1"/>
    <col min="16131" max="16131" width="79.140625" style="36" customWidth="1"/>
    <col min="16132" max="16132" width="28" style="36" customWidth="1"/>
    <col min="16133" max="16133" width="27.42578125" style="36" customWidth="1"/>
    <col min="16134" max="16134" width="27.28515625" style="36" customWidth="1"/>
    <col min="16135" max="16384" width="9.140625" style="36"/>
  </cols>
  <sheetData>
    <row r="1" spans="1:11" x14ac:dyDescent="0.25">
      <c r="A1" s="313" t="s">
        <v>301</v>
      </c>
      <c r="B1" s="313"/>
      <c r="C1" s="313"/>
      <c r="D1" s="313"/>
      <c r="E1" s="313"/>
      <c r="F1" s="313"/>
    </row>
    <row r="2" spans="1:11" ht="15.75" customHeight="1" x14ac:dyDescent="0.25">
      <c r="A2" s="314" t="s">
        <v>583</v>
      </c>
      <c r="B2" s="314"/>
      <c r="C2" s="314"/>
      <c r="D2" s="314"/>
      <c r="E2" s="314"/>
      <c r="F2" s="314"/>
    </row>
    <row r="3" spans="1:11" ht="15.75" x14ac:dyDescent="0.25">
      <c r="A3" s="315"/>
      <c r="B3" s="315"/>
      <c r="C3" s="315"/>
      <c r="D3" s="315"/>
      <c r="E3" s="315"/>
      <c r="F3" s="315"/>
    </row>
    <row r="4" spans="1:11" ht="15.75" x14ac:dyDescent="0.25">
      <c r="A4" s="312" t="s">
        <v>302</v>
      </c>
      <c r="B4" s="312"/>
      <c r="C4" s="312"/>
      <c r="D4" s="312"/>
      <c r="E4" s="312"/>
      <c r="F4" s="312"/>
    </row>
    <row r="5" spans="1:11" ht="15.75" x14ac:dyDescent="0.25">
      <c r="A5" s="312" t="s">
        <v>426</v>
      </c>
      <c r="B5" s="312"/>
      <c r="C5" s="312"/>
      <c r="D5" s="312"/>
      <c r="E5" s="312"/>
      <c r="F5" s="312"/>
    </row>
    <row r="6" spans="1:11" ht="15.75" x14ac:dyDescent="0.25">
      <c r="A6" s="312" t="s">
        <v>584</v>
      </c>
      <c r="B6" s="312"/>
      <c r="C6" s="312"/>
      <c r="D6" s="312"/>
      <c r="E6" s="312"/>
      <c r="F6" s="312"/>
    </row>
    <row r="7" spans="1:11" ht="15.75" x14ac:dyDescent="0.25">
      <c r="A7" s="56"/>
      <c r="B7" s="56"/>
      <c r="C7" s="56"/>
    </row>
    <row r="8" spans="1:11" ht="40.5" customHeight="1" x14ac:dyDescent="0.25">
      <c r="A8" s="231" t="s">
        <v>427</v>
      </c>
      <c r="B8" s="231" t="s">
        <v>272</v>
      </c>
      <c r="C8" s="231" t="s">
        <v>303</v>
      </c>
      <c r="D8" s="232">
        <v>2022</v>
      </c>
      <c r="E8" s="232">
        <v>2023</v>
      </c>
      <c r="F8" s="232">
        <v>2024</v>
      </c>
    </row>
    <row r="9" spans="1:11" ht="47.25" x14ac:dyDescent="0.25">
      <c r="A9" s="311" t="s">
        <v>585</v>
      </c>
      <c r="B9" s="187">
        <v>1</v>
      </c>
      <c r="C9" s="57" t="s">
        <v>312</v>
      </c>
      <c r="D9" s="177" t="s">
        <v>586</v>
      </c>
      <c r="E9" s="177" t="s">
        <v>587</v>
      </c>
      <c r="F9" s="233" t="s">
        <v>588</v>
      </c>
    </row>
    <row r="10" spans="1:11" ht="47.25" x14ac:dyDescent="0.25">
      <c r="A10" s="311"/>
      <c r="B10" s="187">
        <v>2</v>
      </c>
      <c r="C10" s="57" t="s">
        <v>313</v>
      </c>
      <c r="D10" s="177" t="s">
        <v>589</v>
      </c>
      <c r="E10" s="177" t="s">
        <v>428</v>
      </c>
      <c r="F10" s="178" t="s">
        <v>429</v>
      </c>
      <c r="K10" s="36" t="s">
        <v>304</v>
      </c>
    </row>
    <row r="11" spans="1:11" ht="31.5" x14ac:dyDescent="0.25">
      <c r="A11" s="311"/>
      <c r="B11" s="187">
        <v>3</v>
      </c>
      <c r="C11" s="57" t="s">
        <v>590</v>
      </c>
      <c r="D11" s="177"/>
      <c r="E11" s="177" t="s">
        <v>591</v>
      </c>
      <c r="F11" s="234"/>
    </row>
    <row r="12" spans="1:11" ht="31.5" x14ac:dyDescent="0.25">
      <c r="A12" s="311"/>
      <c r="B12" s="187">
        <v>4</v>
      </c>
      <c r="C12" s="57" t="s">
        <v>592</v>
      </c>
      <c r="D12" s="177" t="s">
        <v>593</v>
      </c>
      <c r="E12" s="177" t="s">
        <v>594</v>
      </c>
      <c r="F12" s="177" t="s">
        <v>595</v>
      </c>
    </row>
    <row r="13" spans="1:11" ht="15.75" x14ac:dyDescent="0.25">
      <c r="A13" s="311"/>
      <c r="B13" s="187">
        <v>5</v>
      </c>
      <c r="C13" s="57" t="s">
        <v>468</v>
      </c>
      <c r="D13" s="177" t="s">
        <v>469</v>
      </c>
      <c r="E13" s="179"/>
      <c r="F13" s="234"/>
    </row>
    <row r="14" spans="1:11" ht="15.75" x14ac:dyDescent="0.25">
      <c r="A14" s="311"/>
      <c r="B14" s="187">
        <v>6</v>
      </c>
      <c r="C14" s="57" t="s">
        <v>470</v>
      </c>
      <c r="D14" s="177" t="s">
        <v>596</v>
      </c>
      <c r="E14" s="179"/>
      <c r="F14" s="234"/>
    </row>
    <row r="15" spans="1:11" ht="15.75" x14ac:dyDescent="0.25">
      <c r="A15" s="311"/>
      <c r="B15" s="187">
        <v>7</v>
      </c>
      <c r="C15" s="57" t="s">
        <v>472</v>
      </c>
      <c r="D15" s="177" t="s">
        <v>441</v>
      </c>
      <c r="E15" s="179"/>
      <c r="F15" s="234"/>
    </row>
    <row r="16" spans="1:11" ht="31.5" x14ac:dyDescent="0.25">
      <c r="A16" s="311"/>
      <c r="B16" s="187">
        <v>8</v>
      </c>
      <c r="C16" s="57" t="s">
        <v>473</v>
      </c>
      <c r="D16" s="180"/>
      <c r="E16" s="180" t="s">
        <v>474</v>
      </c>
      <c r="F16" s="234"/>
    </row>
    <row r="17" spans="1:6" ht="31.5" x14ac:dyDescent="0.25">
      <c r="A17" s="311"/>
      <c r="B17" s="187">
        <v>9</v>
      </c>
      <c r="C17" s="57" t="s">
        <v>475</v>
      </c>
      <c r="D17" s="179" t="s">
        <v>597</v>
      </c>
      <c r="E17" s="177" t="s">
        <v>598</v>
      </c>
      <c r="F17" s="177" t="s">
        <v>599</v>
      </c>
    </row>
    <row r="18" spans="1:6" ht="31.5" x14ac:dyDescent="0.25">
      <c r="A18" s="311"/>
      <c r="B18" s="187">
        <v>10</v>
      </c>
      <c r="C18" s="57" t="s">
        <v>600</v>
      </c>
      <c r="D18" s="178" t="s">
        <v>601</v>
      </c>
      <c r="E18" s="177" t="s">
        <v>602</v>
      </c>
      <c r="F18" s="233" t="s">
        <v>603</v>
      </c>
    </row>
    <row r="19" spans="1:6" ht="47.25" x14ac:dyDescent="0.25">
      <c r="A19" s="311"/>
      <c r="B19" s="187">
        <v>11</v>
      </c>
      <c r="C19" s="57" t="s">
        <v>604</v>
      </c>
      <c r="D19" s="177" t="s">
        <v>605</v>
      </c>
      <c r="E19" s="177" t="s">
        <v>606</v>
      </c>
      <c r="F19" s="234" t="s">
        <v>607</v>
      </c>
    </row>
    <row r="20" spans="1:6" ht="15.75" x14ac:dyDescent="0.25">
      <c r="A20" s="311"/>
      <c r="B20" s="187">
        <v>12</v>
      </c>
      <c r="C20" s="57" t="s">
        <v>477</v>
      </c>
      <c r="D20" s="177" t="s">
        <v>608</v>
      </c>
      <c r="E20" s="178"/>
      <c r="F20" s="234"/>
    </row>
    <row r="21" spans="1:6" ht="15.75" x14ac:dyDescent="0.25">
      <c r="A21" s="311"/>
      <c r="B21" s="187">
        <v>13</v>
      </c>
      <c r="C21" s="57" t="s">
        <v>478</v>
      </c>
      <c r="D21" s="177" t="s">
        <v>441</v>
      </c>
      <c r="E21" s="178"/>
      <c r="F21" s="234"/>
    </row>
    <row r="22" spans="1:6" ht="31.5" x14ac:dyDescent="0.25">
      <c r="A22" s="311"/>
      <c r="B22" s="187">
        <v>14</v>
      </c>
      <c r="C22" s="57" t="s">
        <v>314</v>
      </c>
      <c r="D22" s="58" t="s">
        <v>430</v>
      </c>
      <c r="E22" s="58" t="s">
        <v>431</v>
      </c>
      <c r="F22" s="235" t="s">
        <v>609</v>
      </c>
    </row>
    <row r="23" spans="1:6" ht="31.5" x14ac:dyDescent="0.25">
      <c r="A23" s="311"/>
      <c r="B23" s="187">
        <v>15</v>
      </c>
      <c r="C23" s="57" t="s">
        <v>315</v>
      </c>
      <c r="D23" s="177" t="s">
        <v>476</v>
      </c>
      <c r="E23" s="178" t="s">
        <v>479</v>
      </c>
      <c r="F23" s="234" t="s">
        <v>479</v>
      </c>
    </row>
    <row r="24" spans="1:6" ht="31.5" x14ac:dyDescent="0.25">
      <c r="A24" s="311"/>
      <c r="B24" s="187">
        <v>16</v>
      </c>
      <c r="C24" s="57" t="s">
        <v>480</v>
      </c>
      <c r="D24" s="177"/>
      <c r="E24" s="177" t="s">
        <v>476</v>
      </c>
      <c r="F24" s="234"/>
    </row>
    <row r="25" spans="1:6" ht="31.5" x14ac:dyDescent="0.25">
      <c r="A25" s="311"/>
      <c r="B25" s="187">
        <v>17</v>
      </c>
      <c r="C25" s="57" t="s">
        <v>316</v>
      </c>
      <c r="D25" s="177"/>
      <c r="E25" s="177" t="s">
        <v>476</v>
      </c>
      <c r="F25" s="236">
        <v>0.3</v>
      </c>
    </row>
    <row r="26" spans="1:6" ht="15.75" x14ac:dyDescent="0.25">
      <c r="A26" s="311"/>
      <c r="B26" s="187">
        <v>18</v>
      </c>
      <c r="C26" s="57" t="s">
        <v>481</v>
      </c>
      <c r="D26" s="178" t="s">
        <v>471</v>
      </c>
      <c r="E26" s="178"/>
      <c r="F26" s="234"/>
    </row>
    <row r="27" spans="1:6" ht="31.5" x14ac:dyDescent="0.25">
      <c r="A27" s="311"/>
      <c r="B27" s="187">
        <v>19</v>
      </c>
      <c r="C27" s="57" t="s">
        <v>317</v>
      </c>
      <c r="D27" s="177"/>
      <c r="E27" s="177" t="s">
        <v>476</v>
      </c>
      <c r="F27" s="233" t="s">
        <v>441</v>
      </c>
    </row>
    <row r="28" spans="1:6" ht="15.75" x14ac:dyDescent="0.25">
      <c r="A28" s="311"/>
      <c r="B28" s="187">
        <v>20</v>
      </c>
      <c r="C28" s="57" t="s">
        <v>482</v>
      </c>
      <c r="D28" s="178"/>
      <c r="E28" s="178" t="s">
        <v>471</v>
      </c>
      <c r="F28" s="233"/>
    </row>
    <row r="29" spans="1:6" ht="15.75" x14ac:dyDescent="0.25">
      <c r="A29" s="311"/>
      <c r="B29" s="187">
        <v>21</v>
      </c>
      <c r="C29" s="57" t="s">
        <v>483</v>
      </c>
      <c r="D29" s="178" t="s">
        <v>441</v>
      </c>
      <c r="E29" s="178"/>
      <c r="F29" s="233"/>
    </row>
    <row r="30" spans="1:6" ht="15.75" x14ac:dyDescent="0.25">
      <c r="A30" s="311"/>
      <c r="B30" s="187">
        <v>22</v>
      </c>
      <c r="C30" s="57" t="s">
        <v>484</v>
      </c>
      <c r="D30" s="177" t="s">
        <v>485</v>
      </c>
      <c r="E30" s="178"/>
      <c r="F30" s="233"/>
    </row>
    <row r="31" spans="1:6" ht="15.75" x14ac:dyDescent="0.25">
      <c r="A31" s="311" t="s">
        <v>486</v>
      </c>
      <c r="B31" s="187">
        <v>1</v>
      </c>
      <c r="C31" s="57" t="s">
        <v>313</v>
      </c>
      <c r="D31" s="178" t="s">
        <v>432</v>
      </c>
      <c r="E31" s="178" t="s">
        <v>433</v>
      </c>
      <c r="F31" s="234" t="s">
        <v>434</v>
      </c>
    </row>
    <row r="32" spans="1:6" ht="15.75" x14ac:dyDescent="0.25">
      <c r="A32" s="311"/>
      <c r="B32" s="187">
        <v>2</v>
      </c>
      <c r="C32" s="57" t="s">
        <v>487</v>
      </c>
      <c r="D32" s="178" t="s">
        <v>610</v>
      </c>
      <c r="E32" s="178" t="s">
        <v>611</v>
      </c>
      <c r="F32" s="178" t="s">
        <v>612</v>
      </c>
    </row>
    <row r="33" spans="1:6" ht="31.5" x14ac:dyDescent="0.25">
      <c r="A33" s="311"/>
      <c r="B33" s="187">
        <v>3</v>
      </c>
      <c r="C33" s="57" t="s">
        <v>488</v>
      </c>
      <c r="D33" s="177"/>
      <c r="E33" s="177" t="s">
        <v>476</v>
      </c>
      <c r="F33" s="234"/>
    </row>
    <row r="34" spans="1:6" ht="31.5" x14ac:dyDescent="0.25">
      <c r="A34" s="311"/>
      <c r="B34" s="187">
        <v>4</v>
      </c>
      <c r="C34" s="57" t="s">
        <v>489</v>
      </c>
      <c r="D34" s="177"/>
      <c r="F34" s="177" t="s">
        <v>476</v>
      </c>
    </row>
    <row r="35" spans="1:6" ht="31.5" x14ac:dyDescent="0.25">
      <c r="A35" s="311"/>
      <c r="B35" s="237">
        <v>5</v>
      </c>
      <c r="C35" s="238" t="s">
        <v>490</v>
      </c>
      <c r="D35" s="233"/>
      <c r="E35" s="233" t="s">
        <v>476</v>
      </c>
      <c r="F35" s="234" t="s">
        <v>479</v>
      </c>
    </row>
    <row r="36" spans="1:6" ht="31.5" x14ac:dyDescent="0.25">
      <c r="A36" s="311"/>
      <c r="B36" s="237">
        <v>6</v>
      </c>
      <c r="C36" s="238" t="s">
        <v>491</v>
      </c>
      <c r="D36" s="233"/>
      <c r="E36" s="233"/>
      <c r="F36" s="233" t="s">
        <v>476</v>
      </c>
    </row>
    <row r="37" spans="1:6" ht="31.5" x14ac:dyDescent="0.25">
      <c r="A37" s="311"/>
      <c r="B37" s="237">
        <v>7</v>
      </c>
      <c r="C37" s="238" t="s">
        <v>318</v>
      </c>
      <c r="D37" s="233"/>
      <c r="E37" s="233" t="s">
        <v>476</v>
      </c>
      <c r="F37" s="234" t="s">
        <v>479</v>
      </c>
    </row>
    <row r="38" spans="1:6" ht="31.5" x14ac:dyDescent="0.25">
      <c r="A38" s="311"/>
      <c r="B38" s="237">
        <v>8</v>
      </c>
      <c r="C38" s="238" t="s">
        <v>492</v>
      </c>
      <c r="D38" s="233"/>
      <c r="E38" s="233" t="s">
        <v>476</v>
      </c>
      <c r="F38" s="234"/>
    </row>
    <row r="39" spans="1:6" ht="31.5" x14ac:dyDescent="0.25">
      <c r="A39" s="311"/>
      <c r="B39" s="237">
        <v>9</v>
      </c>
      <c r="C39" s="238" t="s">
        <v>493</v>
      </c>
      <c r="D39" s="233"/>
      <c r="E39" s="233"/>
      <c r="F39" s="233" t="s">
        <v>476</v>
      </c>
    </row>
    <row r="40" spans="1:6" ht="15.75" x14ac:dyDescent="0.25">
      <c r="A40" s="311"/>
      <c r="B40" s="237">
        <v>10</v>
      </c>
      <c r="C40" s="239" t="s">
        <v>387</v>
      </c>
      <c r="D40" s="240">
        <v>2</v>
      </c>
      <c r="E40" s="232">
        <v>3</v>
      </c>
      <c r="F40" s="232">
        <v>3</v>
      </c>
    </row>
    <row r="41" spans="1:6" ht="31.5" x14ac:dyDescent="0.25">
      <c r="A41" s="311" t="s">
        <v>435</v>
      </c>
      <c r="B41" s="237">
        <v>1</v>
      </c>
      <c r="C41" s="241" t="s">
        <v>313</v>
      </c>
      <c r="D41" s="233" t="s">
        <v>476</v>
      </c>
      <c r="E41" s="234"/>
      <c r="F41" s="234"/>
    </row>
    <row r="42" spans="1:6" ht="15.75" x14ac:dyDescent="0.25">
      <c r="A42" s="311"/>
      <c r="B42" s="237">
        <v>2</v>
      </c>
      <c r="C42" s="241" t="s">
        <v>494</v>
      </c>
      <c r="D42" s="233" t="s">
        <v>441</v>
      </c>
      <c r="E42" s="234"/>
      <c r="F42" s="234"/>
    </row>
    <row r="43" spans="1:6" ht="15.75" x14ac:dyDescent="0.25">
      <c r="A43" s="311"/>
      <c r="B43" s="237">
        <v>3</v>
      </c>
      <c r="C43" s="241" t="s">
        <v>495</v>
      </c>
      <c r="D43" s="233" t="s">
        <v>441</v>
      </c>
      <c r="E43" s="234"/>
      <c r="F43" s="234"/>
    </row>
    <row r="44" spans="1:6" ht="31.5" x14ac:dyDescent="0.25">
      <c r="A44" s="311"/>
      <c r="B44" s="237">
        <v>4</v>
      </c>
      <c r="C44" s="241" t="s">
        <v>496</v>
      </c>
      <c r="D44" s="233"/>
      <c r="E44" s="233" t="s">
        <v>476</v>
      </c>
      <c r="F44" s="36" t="s">
        <v>441</v>
      </c>
    </row>
    <row r="45" spans="1:6" ht="31.5" x14ac:dyDescent="0.25">
      <c r="A45" s="311"/>
      <c r="B45" s="237">
        <v>5</v>
      </c>
      <c r="C45" s="241" t="s">
        <v>497</v>
      </c>
      <c r="D45" s="233"/>
      <c r="E45" s="233" t="s">
        <v>476</v>
      </c>
      <c r="F45" s="233" t="s">
        <v>476</v>
      </c>
    </row>
    <row r="46" spans="1:6" ht="31.5" x14ac:dyDescent="0.25">
      <c r="A46" s="311"/>
      <c r="B46" s="237">
        <v>6</v>
      </c>
      <c r="C46" s="241" t="s">
        <v>388</v>
      </c>
      <c r="D46" s="233"/>
      <c r="E46" s="233" t="s">
        <v>476</v>
      </c>
      <c r="F46" s="233" t="s">
        <v>441</v>
      </c>
    </row>
    <row r="47" spans="1:6" ht="31.5" x14ac:dyDescent="0.25">
      <c r="A47" s="311"/>
      <c r="B47" s="237">
        <v>7</v>
      </c>
      <c r="C47" s="241" t="s">
        <v>320</v>
      </c>
      <c r="D47" s="233"/>
      <c r="E47" s="233" t="s">
        <v>476</v>
      </c>
      <c r="F47" s="242" t="s">
        <v>441</v>
      </c>
    </row>
    <row r="48" spans="1:6" ht="31.5" x14ac:dyDescent="0.25">
      <c r="A48" s="311"/>
      <c r="B48" s="237">
        <v>8</v>
      </c>
      <c r="C48" s="241" t="s">
        <v>321</v>
      </c>
      <c r="D48" s="233" t="s">
        <v>476</v>
      </c>
      <c r="E48" s="233" t="s">
        <v>441</v>
      </c>
      <c r="F48" s="234"/>
    </row>
    <row r="49" spans="1:6" ht="31.5" x14ac:dyDescent="0.25">
      <c r="A49" s="311"/>
      <c r="B49" s="237">
        <v>9</v>
      </c>
      <c r="C49" s="241" t="s">
        <v>322</v>
      </c>
      <c r="D49" s="233"/>
      <c r="E49" s="233" t="s">
        <v>476</v>
      </c>
      <c r="F49" s="234"/>
    </row>
    <row r="50" spans="1:6" ht="31.5" x14ac:dyDescent="0.25">
      <c r="A50" s="311"/>
      <c r="B50" s="237">
        <v>10</v>
      </c>
      <c r="C50" s="241" t="s">
        <v>498</v>
      </c>
      <c r="D50" s="233" t="s">
        <v>476</v>
      </c>
      <c r="E50" s="234"/>
      <c r="F50" s="234"/>
    </row>
    <row r="51" spans="1:6" ht="15.75" x14ac:dyDescent="0.25">
      <c r="A51" s="311"/>
      <c r="B51" s="237">
        <v>11</v>
      </c>
      <c r="C51" s="241" t="s">
        <v>613</v>
      </c>
      <c r="D51" s="240">
        <v>10</v>
      </c>
      <c r="E51" s="232">
        <v>6</v>
      </c>
      <c r="F51" s="232">
        <v>6</v>
      </c>
    </row>
    <row r="52" spans="1:6" ht="31.5" x14ac:dyDescent="0.25">
      <c r="A52" s="311" t="s">
        <v>436</v>
      </c>
      <c r="B52" s="237">
        <v>1</v>
      </c>
      <c r="C52" s="238" t="s">
        <v>389</v>
      </c>
      <c r="D52" s="233"/>
      <c r="E52" s="233" t="s">
        <v>476</v>
      </c>
      <c r="F52" s="234"/>
    </row>
    <row r="53" spans="1:6" ht="30" x14ac:dyDescent="0.25">
      <c r="A53" s="311"/>
      <c r="B53" s="237">
        <v>2</v>
      </c>
      <c r="C53" s="238" t="s">
        <v>499</v>
      </c>
      <c r="D53" s="243" t="s">
        <v>476</v>
      </c>
      <c r="E53" s="244" t="s">
        <v>441</v>
      </c>
      <c r="F53" s="234"/>
    </row>
    <row r="54" spans="1:6" ht="31.5" x14ac:dyDescent="0.25">
      <c r="A54" s="311"/>
      <c r="B54" s="237">
        <v>3</v>
      </c>
      <c r="C54" s="238" t="s">
        <v>437</v>
      </c>
      <c r="D54" s="233" t="s">
        <v>476</v>
      </c>
      <c r="E54" s="244" t="s">
        <v>441</v>
      </c>
      <c r="F54" s="234"/>
    </row>
    <row r="55" spans="1:6" ht="31.5" x14ac:dyDescent="0.25">
      <c r="A55" s="311"/>
      <c r="B55" s="237">
        <v>4</v>
      </c>
      <c r="C55" s="238" t="s">
        <v>324</v>
      </c>
      <c r="D55" s="233" t="s">
        <v>476</v>
      </c>
      <c r="E55" s="244" t="s">
        <v>441</v>
      </c>
      <c r="F55" s="234"/>
    </row>
    <row r="56" spans="1:6" ht="31.5" x14ac:dyDescent="0.25">
      <c r="A56" s="311"/>
      <c r="B56" s="237">
        <v>5</v>
      </c>
      <c r="C56" s="238" t="s">
        <v>500</v>
      </c>
      <c r="D56" s="233"/>
      <c r="E56" s="233" t="s">
        <v>476</v>
      </c>
      <c r="F56" s="234" t="s">
        <v>441</v>
      </c>
    </row>
    <row r="57" spans="1:6" ht="31.5" x14ac:dyDescent="0.25">
      <c r="A57" s="311"/>
      <c r="B57" s="237">
        <v>6</v>
      </c>
      <c r="C57" s="238" t="s">
        <v>501</v>
      </c>
      <c r="D57" s="233"/>
      <c r="E57" s="233" t="s">
        <v>476</v>
      </c>
      <c r="F57" s="234" t="s">
        <v>441</v>
      </c>
    </row>
    <row r="58" spans="1:6" ht="31.5" x14ac:dyDescent="0.25">
      <c r="A58" s="311"/>
      <c r="B58" s="237">
        <v>7</v>
      </c>
      <c r="C58" s="238" t="s">
        <v>502</v>
      </c>
      <c r="D58" s="233"/>
      <c r="E58" s="233"/>
      <c r="F58" s="233" t="s">
        <v>476</v>
      </c>
    </row>
    <row r="59" spans="1:6" ht="31.5" x14ac:dyDescent="0.25">
      <c r="A59" s="311"/>
      <c r="B59" s="237">
        <v>8</v>
      </c>
      <c r="C59" s="238" t="s">
        <v>503</v>
      </c>
      <c r="D59" s="233"/>
      <c r="E59" s="233" t="s">
        <v>476</v>
      </c>
      <c r="F59" s="234" t="s">
        <v>441</v>
      </c>
    </row>
    <row r="60" spans="1:6" ht="31.5" x14ac:dyDescent="0.25">
      <c r="A60" s="311"/>
      <c r="B60" s="237">
        <v>9</v>
      </c>
      <c r="C60" s="238" t="s">
        <v>325</v>
      </c>
      <c r="D60" s="245"/>
      <c r="E60" s="233" t="s">
        <v>476</v>
      </c>
      <c r="F60" s="234" t="s">
        <v>441</v>
      </c>
    </row>
    <row r="61" spans="1:6" ht="31.5" x14ac:dyDescent="0.25">
      <c r="A61" s="311"/>
      <c r="B61" s="237">
        <v>10</v>
      </c>
      <c r="C61" s="246" t="s">
        <v>390</v>
      </c>
      <c r="D61" s="233"/>
      <c r="E61" s="233" t="s">
        <v>476</v>
      </c>
      <c r="F61" s="234" t="s">
        <v>441</v>
      </c>
    </row>
    <row r="62" spans="1:6" ht="47.25" x14ac:dyDescent="0.25">
      <c r="A62" s="311"/>
      <c r="B62" s="237">
        <v>11</v>
      </c>
      <c r="C62" s="246" t="s">
        <v>504</v>
      </c>
      <c r="D62" s="233" t="s">
        <v>438</v>
      </c>
      <c r="E62" s="233" t="s">
        <v>439</v>
      </c>
      <c r="F62" s="233" t="s">
        <v>440</v>
      </c>
    </row>
    <row r="63" spans="1:6" ht="31.5" x14ac:dyDescent="0.25">
      <c r="A63" s="311"/>
      <c r="B63" s="237">
        <v>12</v>
      </c>
      <c r="C63" s="246" t="s">
        <v>391</v>
      </c>
      <c r="D63" s="233" t="s">
        <v>476</v>
      </c>
      <c r="E63" s="234" t="s">
        <v>441</v>
      </c>
      <c r="F63" s="234"/>
    </row>
    <row r="64" spans="1:6" ht="15.75" x14ac:dyDescent="0.25">
      <c r="A64" s="311"/>
      <c r="B64" s="237">
        <v>13</v>
      </c>
      <c r="C64" s="246" t="s">
        <v>387</v>
      </c>
      <c r="D64" s="240"/>
      <c r="E64" s="232">
        <v>8</v>
      </c>
      <c r="F64" s="232">
        <v>6</v>
      </c>
    </row>
    <row r="65" spans="1:6" ht="31.5" x14ac:dyDescent="0.25">
      <c r="A65" s="311"/>
      <c r="B65" s="237">
        <v>14</v>
      </c>
      <c r="C65" s="246" t="s">
        <v>505</v>
      </c>
      <c r="D65" s="233" t="s">
        <v>476</v>
      </c>
      <c r="E65" s="234" t="s">
        <v>441</v>
      </c>
      <c r="F65" s="234"/>
    </row>
    <row r="66" spans="1:6" ht="15.75" x14ac:dyDescent="0.25">
      <c r="A66" s="311"/>
      <c r="B66" s="237">
        <v>15</v>
      </c>
      <c r="C66" s="246" t="s">
        <v>506</v>
      </c>
      <c r="D66" s="233" t="s">
        <v>471</v>
      </c>
      <c r="E66" s="240"/>
      <c r="F66" s="234"/>
    </row>
    <row r="67" spans="1:6" ht="15.75" x14ac:dyDescent="0.25">
      <c r="A67" s="311"/>
      <c r="B67" s="237">
        <v>16</v>
      </c>
      <c r="C67" s="246" t="s">
        <v>507</v>
      </c>
      <c r="D67" s="233"/>
      <c r="E67" s="233" t="s">
        <v>608</v>
      </c>
      <c r="F67" s="234" t="s">
        <v>441</v>
      </c>
    </row>
    <row r="68" spans="1:6" ht="15.75" x14ac:dyDescent="0.25">
      <c r="A68" s="311"/>
      <c r="B68" s="237">
        <v>17</v>
      </c>
      <c r="C68" s="246" t="s">
        <v>508</v>
      </c>
      <c r="D68" s="233"/>
      <c r="E68" s="233" t="s">
        <v>608</v>
      </c>
      <c r="F68" s="234" t="s">
        <v>441</v>
      </c>
    </row>
    <row r="69" spans="1:6" ht="31.5" x14ac:dyDescent="0.25">
      <c r="A69" s="311" t="s">
        <v>509</v>
      </c>
      <c r="B69" s="237">
        <v>1</v>
      </c>
      <c r="C69" s="241" t="s">
        <v>510</v>
      </c>
      <c r="D69" s="233"/>
      <c r="E69" s="233" t="s">
        <v>511</v>
      </c>
      <c r="F69" s="234"/>
    </row>
    <row r="70" spans="1:6" ht="31.5" x14ac:dyDescent="0.25">
      <c r="A70" s="311"/>
      <c r="B70" s="237">
        <v>2</v>
      </c>
      <c r="C70" s="241" t="s">
        <v>512</v>
      </c>
      <c r="D70" s="233"/>
      <c r="E70" s="233"/>
      <c r="F70" s="233" t="s">
        <v>476</v>
      </c>
    </row>
    <row r="71" spans="1:6" ht="31.5" x14ac:dyDescent="0.25">
      <c r="A71" s="311"/>
      <c r="B71" s="237">
        <v>3</v>
      </c>
      <c r="C71" s="241" t="s">
        <v>489</v>
      </c>
      <c r="D71" s="233" t="s">
        <v>476</v>
      </c>
      <c r="E71" s="233"/>
      <c r="F71" s="233"/>
    </row>
    <row r="72" spans="1:6" ht="31.5" x14ac:dyDescent="0.25">
      <c r="A72" s="311"/>
      <c r="B72" s="237">
        <v>4</v>
      </c>
      <c r="C72" s="241" t="s">
        <v>614</v>
      </c>
      <c r="D72" s="233" t="s">
        <v>441</v>
      </c>
      <c r="E72" s="233"/>
      <c r="F72" s="233" t="s">
        <v>476</v>
      </c>
    </row>
    <row r="73" spans="1:6" ht="15.75" x14ac:dyDescent="0.25">
      <c r="A73" s="311"/>
      <c r="B73" s="237">
        <v>5</v>
      </c>
      <c r="C73" s="241" t="s">
        <v>615</v>
      </c>
      <c r="D73" s="233" t="s">
        <v>513</v>
      </c>
      <c r="E73" s="233"/>
      <c r="F73" s="233"/>
    </row>
    <row r="74" spans="1:6" ht="31.5" x14ac:dyDescent="0.25">
      <c r="A74" s="311"/>
      <c r="B74" s="237">
        <v>6</v>
      </c>
      <c r="C74" s="241" t="s">
        <v>514</v>
      </c>
      <c r="D74" s="233"/>
      <c r="E74" s="233" t="s">
        <v>476</v>
      </c>
      <c r="F74" s="233"/>
    </row>
    <row r="75" spans="1:6" ht="31.5" x14ac:dyDescent="0.25">
      <c r="A75" s="311"/>
      <c r="B75" s="237">
        <v>7</v>
      </c>
      <c r="C75" s="241" t="s">
        <v>515</v>
      </c>
      <c r="D75" s="233" t="s">
        <v>516</v>
      </c>
      <c r="E75" s="247"/>
      <c r="F75" s="233"/>
    </row>
    <row r="76" spans="1:6" ht="15.75" x14ac:dyDescent="0.25">
      <c r="A76" s="311"/>
      <c r="B76" s="237">
        <v>8</v>
      </c>
      <c r="C76" s="248" t="s">
        <v>517</v>
      </c>
      <c r="D76" s="249" t="s">
        <v>441</v>
      </c>
      <c r="E76" s="250"/>
      <c r="F76" s="251"/>
    </row>
    <row r="77" spans="1:6" ht="31.5" x14ac:dyDescent="0.25">
      <c r="A77" s="311"/>
      <c r="B77" s="237">
        <v>9</v>
      </c>
      <c r="C77" s="241" t="s">
        <v>437</v>
      </c>
      <c r="D77" s="233" t="s">
        <v>476</v>
      </c>
      <c r="E77" s="247"/>
      <c r="F77" s="234"/>
    </row>
    <row r="78" spans="1:6" ht="31.5" x14ac:dyDescent="0.25">
      <c r="A78" s="311" t="s">
        <v>518</v>
      </c>
      <c r="B78" s="237">
        <v>1</v>
      </c>
      <c r="C78" s="241" t="s">
        <v>519</v>
      </c>
      <c r="D78" s="233"/>
      <c r="E78" s="233" t="s">
        <v>476</v>
      </c>
      <c r="F78" s="234"/>
    </row>
    <row r="79" spans="1:6" ht="15.75" x14ac:dyDescent="0.25">
      <c r="A79" s="311"/>
      <c r="B79" s="237">
        <v>2</v>
      </c>
      <c r="C79" s="252" t="s">
        <v>616</v>
      </c>
      <c r="D79" s="253" t="s">
        <v>441</v>
      </c>
      <c r="E79" s="254"/>
      <c r="F79" s="254"/>
    </row>
    <row r="80" spans="1:6" ht="47.25" x14ac:dyDescent="0.25">
      <c r="A80" s="311"/>
      <c r="B80" s="237">
        <v>3</v>
      </c>
      <c r="C80" s="241" t="s">
        <v>617</v>
      </c>
      <c r="D80" s="232" t="s">
        <v>441</v>
      </c>
      <c r="E80" s="234"/>
      <c r="F80" s="234"/>
    </row>
    <row r="81" spans="1:6" ht="31.5" x14ac:dyDescent="0.25">
      <c r="A81" s="311"/>
      <c r="B81" s="237">
        <v>4</v>
      </c>
      <c r="C81" s="248" t="s">
        <v>326</v>
      </c>
      <c r="D81" s="249"/>
      <c r="E81" s="249" t="s">
        <v>476</v>
      </c>
      <c r="F81" s="254"/>
    </row>
    <row r="82" spans="1:6" ht="31.5" x14ac:dyDescent="0.25">
      <c r="A82" s="311"/>
      <c r="B82" s="237">
        <v>5</v>
      </c>
      <c r="C82" s="241" t="s">
        <v>319</v>
      </c>
      <c r="D82" s="233"/>
      <c r="E82" s="233" t="s">
        <v>476</v>
      </c>
      <c r="F82" s="234"/>
    </row>
    <row r="83" spans="1:6" ht="15.75" x14ac:dyDescent="0.25">
      <c r="A83" s="311"/>
      <c r="B83" s="237">
        <v>6</v>
      </c>
      <c r="C83" s="241" t="s">
        <v>618</v>
      </c>
      <c r="D83" s="240" t="s">
        <v>513</v>
      </c>
      <c r="E83" s="234"/>
      <c r="F83" s="234"/>
    </row>
    <row r="84" spans="1:6" ht="31.5" x14ac:dyDescent="0.25">
      <c r="A84" s="311"/>
      <c r="B84" s="237">
        <v>7</v>
      </c>
      <c r="C84" s="241" t="s">
        <v>520</v>
      </c>
      <c r="D84" s="240"/>
      <c r="E84" s="233" t="s">
        <v>476</v>
      </c>
      <c r="F84" s="234"/>
    </row>
    <row r="85" spans="1:6" s="55" customFormat="1" ht="31.5" x14ac:dyDescent="0.25">
      <c r="A85" s="310" t="s">
        <v>521</v>
      </c>
      <c r="B85" s="187">
        <v>1</v>
      </c>
      <c r="C85" s="241" t="s">
        <v>323</v>
      </c>
      <c r="D85" s="240" t="s">
        <v>442</v>
      </c>
      <c r="E85" s="234" t="s">
        <v>443</v>
      </c>
      <c r="F85" s="233" t="s">
        <v>444</v>
      </c>
    </row>
    <row r="86" spans="1:6" s="55" customFormat="1" ht="31.5" x14ac:dyDescent="0.25">
      <c r="A86" s="310"/>
      <c r="B86" s="187">
        <v>2</v>
      </c>
      <c r="C86" s="241" t="s">
        <v>327</v>
      </c>
      <c r="D86" s="233"/>
      <c r="E86" s="233" t="s">
        <v>476</v>
      </c>
      <c r="F86" s="234"/>
    </row>
    <row r="87" spans="1:6" s="55" customFormat="1" ht="31.5" x14ac:dyDescent="0.25">
      <c r="A87" s="310"/>
      <c r="B87" s="187">
        <v>3</v>
      </c>
      <c r="C87" s="241" t="s">
        <v>619</v>
      </c>
      <c r="D87" s="233"/>
      <c r="E87" s="233" t="s">
        <v>476</v>
      </c>
      <c r="F87" s="233" t="s">
        <v>445</v>
      </c>
    </row>
    <row r="88" spans="1:6" s="55" customFormat="1" ht="31.5" x14ac:dyDescent="0.25">
      <c r="A88" s="310"/>
      <c r="B88" s="187">
        <v>4</v>
      </c>
      <c r="C88" s="241" t="s">
        <v>522</v>
      </c>
      <c r="D88" s="233"/>
      <c r="E88" s="233" t="s">
        <v>476</v>
      </c>
      <c r="F88" s="233" t="s">
        <v>445</v>
      </c>
    </row>
    <row r="89" spans="1:6" s="55" customFormat="1" ht="15.75" x14ac:dyDescent="0.25">
      <c r="A89" s="310"/>
      <c r="B89" s="187">
        <v>5</v>
      </c>
      <c r="C89" s="241" t="s">
        <v>328</v>
      </c>
      <c r="D89" s="233"/>
      <c r="E89" s="234" t="s">
        <v>479</v>
      </c>
      <c r="F89" s="234"/>
    </row>
    <row r="90" spans="1:6" s="55" customFormat="1" ht="15.75" x14ac:dyDescent="0.25">
      <c r="A90" s="310"/>
      <c r="B90" s="187">
        <v>6</v>
      </c>
      <c r="C90" s="255" t="s">
        <v>387</v>
      </c>
      <c r="D90" s="256"/>
      <c r="E90" s="256">
        <v>1</v>
      </c>
      <c r="F90" s="256">
        <v>1</v>
      </c>
    </row>
    <row r="91" spans="1:6" s="55" customFormat="1" ht="15.75" x14ac:dyDescent="0.25">
      <c r="A91" s="310"/>
      <c r="B91" s="187">
        <v>7</v>
      </c>
      <c r="C91" s="255" t="s">
        <v>616</v>
      </c>
      <c r="D91" s="256" t="s">
        <v>441</v>
      </c>
      <c r="E91" s="256"/>
      <c r="F91" s="256"/>
    </row>
    <row r="92" spans="1:6" s="55" customFormat="1" ht="15.75" x14ac:dyDescent="0.25">
      <c r="A92" s="310"/>
      <c r="B92" s="187">
        <v>8</v>
      </c>
      <c r="C92" s="255" t="s">
        <v>620</v>
      </c>
      <c r="D92" s="256" t="s">
        <v>608</v>
      </c>
      <c r="E92" s="256" t="s">
        <v>441</v>
      </c>
      <c r="F92" s="256"/>
    </row>
  </sheetData>
  <mergeCells count="13">
    <mergeCell ref="A6:F6"/>
    <mergeCell ref="A1:F1"/>
    <mergeCell ref="A2:F2"/>
    <mergeCell ref="A3:F3"/>
    <mergeCell ref="A4:F4"/>
    <mergeCell ref="A5:F5"/>
    <mergeCell ref="A85:A92"/>
    <mergeCell ref="A9:A30"/>
    <mergeCell ref="A31:A40"/>
    <mergeCell ref="A41:A51"/>
    <mergeCell ref="A52:A68"/>
    <mergeCell ref="A69:A77"/>
    <mergeCell ref="A78:A84"/>
  </mergeCells>
  <pageMargins left="0.39370078740157483" right="0.39370078740157483" top="0.78740157480314965" bottom="0.39370078740157483" header="0" footer="0"/>
  <pageSetup paperSize="9" scale="72" fitToHeight="5" orientation="landscape" r:id="rId1"/>
  <rowBreaks count="1" manualBreakCount="1">
    <brk id="3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Управление ФЭИ</vt:lpstr>
      <vt:lpstr>ДОХОДЫ РАСХОДЫ ИСТОЧНИКИ</vt:lpstr>
      <vt:lpstr>РАСХОДЫ ПРОГРАММЫ</vt:lpstr>
      <vt:lpstr>Прогноз СЭР 2022-2024</vt:lpstr>
      <vt:lpstr>№ 1 производ. продукции</vt:lpstr>
      <vt:lpstr>№ 2 Хлеб и Молочка</vt:lpstr>
      <vt:lpstr>№ 3 Олени</vt:lpstr>
      <vt:lpstr>№ 4 строительство</vt:lpstr>
      <vt:lpstr>'№ 1 производ. продукции'!Область_печати</vt:lpstr>
      <vt:lpstr>'№ 4 строительство'!Область_печати</vt:lpstr>
      <vt:lpstr>'ДОХОДЫ РАСХОДЫ ИСТОЧНИКИ'!Область_печати</vt:lpstr>
      <vt:lpstr>'Прогноз СЭР 2022-2024'!Область_печати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Кириленко Валентина Викторовна</dc:creator>
  <cp:lastModifiedBy>Евгений C. Петров</cp:lastModifiedBy>
  <dcterms:created xsi:type="dcterms:W3CDTF">2006-09-28T05:33:49Z</dcterms:created>
  <dcterms:modified xsi:type="dcterms:W3CDTF">2022-12-14T06:29:57Z</dcterms:modified>
</cp:coreProperties>
</file>