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360" windowWidth="25440" windowHeight="6420"/>
  </bookViews>
  <sheets>
    <sheet name="Лист1" sheetId="1" r:id="rId1"/>
    <sheet name="Лист3" sheetId="3" r:id="rId2"/>
  </sheets>
  <definedNames>
    <definedName name="_xlnm.Print_Area" localSheetId="0">Лист1!$A$1:$D$244</definedName>
  </definedNames>
  <calcPr calcId="162913"/>
</workbook>
</file>

<file path=xl/calcChain.xml><?xml version="1.0" encoding="utf-8"?>
<calcChain xmlns="http://schemas.openxmlformats.org/spreadsheetml/2006/main">
  <c r="D60" i="1" l="1"/>
  <c r="C60" i="1"/>
  <c r="D236" i="1"/>
  <c r="C236" i="1"/>
  <c r="D225" i="1"/>
  <c r="C225" i="1"/>
  <c r="D228" i="1"/>
  <c r="C228" i="1"/>
  <c r="D227" i="1"/>
  <c r="C227" i="1"/>
  <c r="D223" i="1"/>
  <c r="C223" i="1"/>
  <c r="D222" i="1"/>
  <c r="C222" i="1"/>
  <c r="D224" i="1"/>
  <c r="C224" i="1"/>
  <c r="D220" i="1"/>
  <c r="C220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5" i="1"/>
  <c r="C205" i="1"/>
  <c r="D172" i="1"/>
  <c r="C172" i="1"/>
  <c r="D171" i="1"/>
  <c r="C171" i="1"/>
  <c r="D204" i="1"/>
  <c r="C204" i="1"/>
  <c r="D195" i="1"/>
  <c r="C195" i="1"/>
  <c r="D203" i="1"/>
  <c r="C203" i="1"/>
  <c r="C192" i="1"/>
  <c r="C191" i="1"/>
  <c r="C190" i="1" s="1"/>
  <c r="D190" i="1"/>
  <c r="D176" i="1"/>
  <c r="C176" i="1"/>
  <c r="D175" i="1"/>
  <c r="C175" i="1"/>
  <c r="D201" i="1"/>
  <c r="C201" i="1"/>
  <c r="D200" i="1"/>
  <c r="C200" i="1"/>
  <c r="D199" i="1"/>
  <c r="C199" i="1"/>
  <c r="D202" i="1"/>
  <c r="C202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C153" i="1"/>
  <c r="D152" i="1"/>
  <c r="C152" i="1"/>
  <c r="D173" i="1"/>
  <c r="C173" i="1"/>
  <c r="D150" i="1"/>
  <c r="C150" i="1"/>
  <c r="D149" i="1"/>
  <c r="C149" i="1"/>
  <c r="D148" i="1"/>
  <c r="C148" i="1"/>
  <c r="D147" i="1"/>
  <c r="C147" i="1"/>
  <c r="D146" i="1"/>
  <c r="C146" i="1"/>
  <c r="C91" i="1" l="1"/>
  <c r="D82" i="1"/>
  <c r="C82" i="1"/>
  <c r="C57" i="1"/>
  <c r="D40" i="1" l="1"/>
  <c r="C40" i="1"/>
  <c r="D31" i="1"/>
  <c r="C31" i="1"/>
  <c r="D15" i="1"/>
  <c r="C15" i="1"/>
  <c r="D166" i="1"/>
  <c r="C166" i="1"/>
  <c r="C226" i="1"/>
  <c r="D196" i="1"/>
  <c r="C196" i="1"/>
  <c r="D194" i="1"/>
  <c r="C194" i="1"/>
  <c r="D187" i="1" l="1"/>
  <c r="C187" i="1"/>
  <c r="D198" i="1"/>
  <c r="C198" i="1"/>
  <c r="D86" i="1" l="1"/>
  <c r="D98" i="1" l="1"/>
  <c r="C86" i="1"/>
  <c r="D237" i="1" l="1"/>
  <c r="C237" i="1"/>
  <c r="D226" i="1"/>
  <c r="D221" i="1"/>
  <c r="C221" i="1"/>
  <c r="C234" i="1" s="1"/>
  <c r="D214" i="1"/>
  <c r="C214" i="1"/>
  <c r="C183" i="1"/>
  <c r="D183" i="1"/>
  <c r="D180" i="1"/>
  <c r="C180" i="1"/>
  <c r="D177" i="1"/>
  <c r="C177" i="1"/>
  <c r="D174" i="1"/>
  <c r="C174" i="1"/>
  <c r="D169" i="1"/>
  <c r="C169" i="1"/>
  <c r="D163" i="1"/>
  <c r="C163" i="1"/>
  <c r="D151" i="1"/>
  <c r="C151" i="1"/>
  <c r="D145" i="1"/>
  <c r="C145" i="1"/>
  <c r="D215" i="1" l="1"/>
  <c r="C215" i="1"/>
  <c r="D234" i="1"/>
  <c r="D238" i="1" s="1"/>
  <c r="C238" i="1"/>
  <c r="C98" i="1" l="1"/>
  <c r="D94" i="1"/>
  <c r="D99" i="1" s="1"/>
  <c r="C94" i="1"/>
  <c r="C99" i="1" l="1"/>
  <c r="D54" i="1"/>
  <c r="C54" i="1"/>
  <c r="D51" i="1"/>
  <c r="C51" i="1"/>
  <c r="D34" i="1"/>
  <c r="C34" i="1"/>
  <c r="D24" i="1"/>
  <c r="C24" i="1"/>
  <c r="D132" i="1" l="1"/>
  <c r="D129" i="1" s="1"/>
  <c r="C132" i="1"/>
  <c r="C129" i="1" s="1"/>
  <c r="D124" i="1"/>
  <c r="D127" i="1" s="1"/>
  <c r="C124" i="1"/>
  <c r="C127" i="1" s="1"/>
  <c r="D119" i="1"/>
  <c r="D122" i="1" s="1"/>
  <c r="C119" i="1"/>
  <c r="C122" i="1" s="1"/>
  <c r="C133" i="1" l="1"/>
  <c r="D133" i="1"/>
  <c r="C44" i="1" l="1"/>
  <c r="C45" i="1" s="1"/>
  <c r="D45" i="1"/>
  <c r="D61" i="1" l="1"/>
  <c r="C61" i="1"/>
  <c r="D114" i="1"/>
  <c r="C114" i="1"/>
  <c r="D240" i="1" l="1"/>
  <c r="C240" i="1"/>
</calcChain>
</file>

<file path=xl/sharedStrings.xml><?xml version="1.0" encoding="utf-8"?>
<sst xmlns="http://schemas.openxmlformats.org/spreadsheetml/2006/main" count="287" uniqueCount="150">
  <si>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</si>
  <si>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</si>
  <si>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</si>
  <si>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</si>
  <si>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</si>
  <si>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</si>
  <si>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</si>
  <si>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</si>
  <si>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</si>
  <si>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</si>
  <si>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</si>
  <si>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</si>
  <si>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</si>
  <si>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</si>
  <si>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</si>
  <si>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Итого по программе</t>
  </si>
  <si>
    <t>Подпрограмма «Поддержка жилищно-коммунального хозяйства»</t>
  </si>
  <si>
    <t>Убытки по низкорентабельным баням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</si>
  <si>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</si>
  <si>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</si>
  <si>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</si>
  <si>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</si>
  <si>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</si>
  <si>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Субсидирование предприятий ЖКХ</t>
  </si>
  <si>
    <t>Субсидирование ритуальных услуг</t>
  </si>
  <si>
    <t>Подпрограмма «Субсидирование пассажирских перевозок»</t>
  </si>
  <si>
    <t>Субсидирование пассажирских перевозок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</si>
  <si>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</si>
  <si>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</si>
  <si>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Подпрограмма «Содержание вертолетных площадок»</t>
  </si>
  <si>
    <t>Содержание вертолетных площадок</t>
  </si>
  <si>
    <t>Мероприятия по капитальному ремонту жилищного фонда</t>
  </si>
  <si>
    <t>Мероприятия по содержанию дорог</t>
  </si>
  <si>
    <t>Мероприятия по освещению улиц</t>
  </si>
  <si>
    <t>Мероприятия по озеленению улиц</t>
  </si>
  <si>
    <t>Мероприятия по содержанию кладбищ</t>
  </si>
  <si>
    <t>Мероприятия по прочему благоустройству</t>
  </si>
  <si>
    <t>Ремонт, модернизация и реконструкция инженерно-технических сетей</t>
  </si>
  <si>
    <t>Взносы на капитальный ремонт общего имущества многоквартирных домов</t>
  </si>
  <si>
    <t>Управление финансов, экономики и имущественных отношений городского округа Эгвекинот</t>
  </si>
  <si>
    <t>Подпрограмма "Муниципальная поддержка малого и среднего предпринимательства"</t>
  </si>
  <si>
    <t>Финансовая поддержка субъектов малого и среднего предпринимательства</t>
  </si>
  <si>
    <t>Подпрограмма "Финансовая поддержка производителей социально-значимых видов хлеба"</t>
  </si>
  <si>
    <t>Финансовая поддержка производителей социально-значимых видов хлеба</t>
  </si>
  <si>
    <t>Подпрограмма "Финансовая поддержка торговых предприятий реализующих населению социально значимые продовольственные товары"</t>
  </si>
  <si>
    <t>Предоставление финансовой поддержки торговым предприятиям, реализующих населению социально значимые продовольственные товар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</si>
  <si>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</si>
  <si>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</si>
  <si>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</si>
  <si>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Подпрограмма "Обеспечение государственных гарантий и развитие современной инфраструктуры образования, культуры и молодежной политики"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</si>
  <si>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</si>
  <si>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Мероприятия по проведению оздоровительной  компании детей, находящихся в трудной жизненной ситуации</t>
  </si>
  <si>
    <t>Приобретение учебников  для образовательных учреждений</t>
  </si>
  <si>
    <t>Пополнение книжных фондов муниципальных библиотек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</si>
  <si>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</si>
  <si>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</si>
  <si>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</si>
  <si>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</si>
  <si>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</si>
  <si>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</si>
  <si>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</si>
  <si>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</si>
  <si>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</si>
  <si>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Подпрограмма "Развитие физической культуры и спорта"</t>
  </si>
  <si>
    <t>Проведение официальных спортивно-массовых мероприятий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</si>
  <si>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</si>
  <si>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r>
      <t xml:space="preserve">                      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(подпись)</t>
    </r>
  </si>
  <si>
    <t>ВСЕГО РАСХОДЫ ПО МУНИЦИПАЛЬНЫМ ПРОГРАММАМ:</t>
  </si>
  <si>
    <t>Освоено (тыс. руб.)</t>
  </si>
  <si>
    <t>Освоено
(тыс. руб.)</t>
  </si>
  <si>
    <t>Молодежная политика и организация отдыха детей</t>
  </si>
  <si>
    <t>Обеспечение проведения конкурса педагогического мастерства «Учитель года», «Воспитатель года»</t>
  </si>
  <si>
    <t>16</t>
  </si>
  <si>
    <t>Подпрограмма «Энергосбережение и повышение энергетической эффективности»</t>
  </si>
  <si>
    <t>Приобретение и поставка счетчиков горячей воды с монтажным комплексом,осадочных фильтров, обратных клапонов для муниципального жилищного фонда ГО Эгвекинот</t>
  </si>
  <si>
    <t>Приобретение и поставка прибров учете электроэнергии для муниципального жилищного фонда ГО Эгвекинот.</t>
  </si>
  <si>
    <t>17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</si>
  <si>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</si>
  <si>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Проведение государственной итоговой аттестации, олимпиад и мониторинга в сфере образования</t>
  </si>
  <si>
    <t xml:space="preserve">Компенсация расходов на оплату стоимости проезда и провоза багажа, связанных с переездом
компенсации расходов, связанных с переездом
</t>
  </si>
  <si>
    <t>Расходы на обеспечение деятельности (оказание услуг) школ - детских садов, школ начальных, неполных средних и средних</t>
  </si>
  <si>
    <t xml:space="preserve">Расходы на обеспечение деятельности (оказание услуг) учреждений дополнительного образования </t>
  </si>
  <si>
    <t xml:space="preserve">Расходы на обеспечение деятельности (оказание услуг) специальных (коррекционных) общеобразовательных школ-интернатов </t>
  </si>
  <si>
    <t>Муниципальная программа "Развитие  образования, культуры и молодежной политики в городском округе Эгвекинот на 2016-2021 годы"</t>
  </si>
  <si>
    <t>Проведение районных культурно-массовых мероприятий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</si>
  <si>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</si>
  <si>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за счет средств федерального бюджета</t>
  </si>
  <si>
    <t>Приобретение оборудования и товарно-материальных ценностей для нужд муниципальных учреждений образования и культуры</t>
  </si>
  <si>
    <t>15</t>
  </si>
  <si>
    <t>Поощрение талантливой молодежи</t>
  </si>
  <si>
    <t>Приобретение оборудования на реализацию мероприятий по поддержке творчества обучающихся инженерной направленности</t>
  </si>
  <si>
    <t>Реализация мероприятий по профессиональной ориентации лиц, обучающихся в общеобразовательных организациях</t>
  </si>
  <si>
    <t>18</t>
  </si>
  <si>
    <t>Муниципальная программа «Развитие физической культуры и спорта в городском округе Эгвекинот на 2016-2021 годы»</t>
  </si>
  <si>
    <t>Развитие и поддержка национальных видов спорта</t>
  </si>
  <si>
    <t xml:space="preserve"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</t>
  </si>
  <si>
    <t>Предоставление населению услуги по нецентрализованному водоотведению по тарифам, не обеспечивающим возмещение издержек</t>
  </si>
  <si>
    <t>Исполнение полномочий органов местного самоуправления в сфере водоснабжения и водоотведения</t>
  </si>
  <si>
    <t>Муниципальная программа «Развитие транспортной инфраструктуры городского округа Эгвекинот на 2016-2021 годы»</t>
  </si>
  <si>
    <t>Реализация проектов инициативного бюджетирования в городском округе Эгвекинот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</si>
  <si>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</si>
  <si>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</si>
  <si>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Содержание пожарных  автомобилей, помещений для стоянки пожарных автомобилей  в селах Амгуэма, Конергино, Рыркайпий</t>
  </si>
  <si>
    <t>Оснащение добровольных пожарных формирований. Приобретение пожарной техники</t>
  </si>
  <si>
    <t>Информирование населения в области пожарной безопасности и безопасного поведения на водных объектах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</si>
  <si>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</si>
  <si>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</t>
  </si>
  <si>
    <t xml:space="preserve">Информирование населения в области гражданской обороны, защиты населения от чрезвычайных ситуаций природного и техногенного характера </t>
  </si>
  <si>
    <t>Формирование специализированного жилищного фонда для специалистов образовательных организаций Чукотского автономного округа, в том числе:</t>
  </si>
  <si>
    <t>19</t>
  </si>
  <si>
    <t>Обустройство ВПП для легкомоторной авиации</t>
  </si>
  <si>
    <t>Обустройство и восстановление воинских захоронений, находящихся в государственной (муниципальной) собственности (федеральный бюджет)</t>
  </si>
  <si>
    <t>20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</si>
  <si>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</si>
  <si>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</si>
  <si>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</si>
  <si>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Субсидирование по реализации ТПТ по регулируемым ценам</t>
  </si>
  <si>
    <t>Муниципальная программа  «Содержание, развитие и ремонт инфраструктуры городского округа Эгвекинот на 2016-2021 годы»</t>
  </si>
  <si>
    <t>Утверждено на 2020 год (тыс.руб.)</t>
  </si>
  <si>
    <t>Муниципальная программа «Стимулирование экономической активности населения городского округа Эгвекинот на 2016-2021 годы»</t>
  </si>
  <si>
    <t>Выполнение ремонтных работ в муниципальных образовательных организациях и учреждениях культуры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</si>
  <si>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</si>
  <si>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>Модернизация (капитальный ремонт,реконструкция) муниципальных детских школ исскусств по видам исскуств</t>
  </si>
  <si>
    <t>Проведение массовых физкультурных мероприятий среди различных категорий населения</t>
  </si>
  <si>
    <t xml:space="preserve">Оснащение спортивных клубов и секций специализированным оборудованием и инвентарём </t>
  </si>
  <si>
    <t>21</t>
  </si>
  <si>
    <t xml:space="preserve">Формирование специализированного жилищного фонда для специалистов образовательных организаций городского округа Эгвекинот </t>
  </si>
  <si>
    <t>Утверждено на 2020 г.
(тыс. руб.)</t>
  </si>
  <si>
    <t>за 9 месяцев 2020 года</t>
  </si>
  <si>
    <t>Информирование населения ГО Эгвекинот по вопросам противодействия идеологии терроризма, предупреждению террористических актов и иных террористических проявлений</t>
  </si>
  <si>
    <t>Обеспечение здания Администрации ГО Эгвекинот современными системами видеонаблюдения</t>
  </si>
  <si>
    <t>Субсидия МУП ЖКХ "Иультинское" на финансовое оздоровление предприятия</t>
  </si>
  <si>
    <t>Ремонт, модернизация и реконструкция автомобильных дорог и  инженерных сооружений на них</t>
  </si>
  <si>
    <r>
      <t xml:space="preserve">Проведение мероприятий по отлову и содержанию безнадзорных животных </t>
    </r>
    <r>
      <rPr>
        <i/>
        <sz val="10"/>
        <rFont val="Times New Roman"/>
        <family val="1"/>
        <charset val="204"/>
      </rPr>
      <t>(за счет средств окружного бюджета)</t>
    </r>
  </si>
  <si>
    <t>софинансирование проектов со стороны населения</t>
  </si>
  <si>
    <t>22</t>
  </si>
  <si>
    <t>Проведение ремонтных работ в муниципальных учреждениях культуры</t>
  </si>
  <si>
    <t>Организация бесплатного горячего питания для обучающихся, осваивающих образовательные программы начального общего образования, в том числе:</t>
  </si>
  <si>
    <t>23</t>
  </si>
  <si>
    <r>
      <t xml:space="preserve">Проведение ремонтных работ в учреждениях культурно-досугового типа Чукотского автономного округа </t>
    </r>
    <r>
      <rPr>
        <i/>
        <sz val="9"/>
        <rFont val="Times New Roman"/>
        <family val="1"/>
        <charset val="204"/>
      </rPr>
      <t>(окружной бюджет)</t>
    </r>
  </si>
  <si>
    <t>24</t>
  </si>
  <si>
    <t>Изготовление, доставка и установка скульптурной композиции памятника героям-летчикам "Алсиб" п.Эгвекинот</t>
  </si>
  <si>
    <r>
      <t xml:space="preserve">Финансов.обеспечен.выполнения муниципального задания детскими дошкольными учреждениями </t>
    </r>
    <r>
      <rPr>
        <i/>
        <sz val="10"/>
        <rFont val="Times New Roman"/>
        <family val="1"/>
        <charset val="204"/>
      </rPr>
      <t>(окружной бюджет)</t>
    </r>
  </si>
  <si>
    <r>
      <t>Финансов.обеспечен.выполнения муниципального задания  школами-детскими садами и школами (начальной,неполной средней и средней)</t>
    </r>
    <r>
      <rPr>
        <i/>
        <sz val="10"/>
        <rFont val="Times New Roman"/>
        <family val="1"/>
        <charset val="204"/>
      </rPr>
      <t xml:space="preserve"> (окружной бюджет)</t>
    </r>
  </si>
  <si>
    <r>
      <t xml:space="preserve">Финансов.обеспечен.выполнения муниципального задания  специальной (коррекционной) общеобразовательной  школой-интернат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</si>
  <si>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Финансов.обеспечен.выполнения муниципального задания  учреждениями по внешкольной работе с детьми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</si>
  <si>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</si>
  <si>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</t>
    </r>
    <r>
      <rPr>
        <i/>
        <sz val="10"/>
        <rFont val="Times New Roman"/>
        <family val="1"/>
        <charset val="204"/>
      </rPr>
      <t>(окружной бюджет)</t>
    </r>
  </si>
  <si>
    <r>
      <t xml:space="preserve">И.о. начальника Управления ФЭИ                            </t>
    </r>
    <r>
      <rPr>
        <u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Е.С. Петров</t>
    </r>
  </si>
  <si>
    <t>15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</si>
</sst>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Arial Cyr"/>
    </font>
    <font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4" fontId="24" fillId="0" borderId="9">
      <alignment horizontal="right" vertical="top" shrinkToFit="1"/>
    </xf>
  </cellStyleXfs>
  <cellXfs count="161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/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/>
    <xf numFmtId="0" fontId="11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/>
    </xf>
    <xf numFmtId="49" fontId="10" fillId="0" borderId="0" xfId="1" applyNumberFormat="1" applyFont="1"/>
    <xf numFmtId="0" fontId="11" fillId="0" borderId="0" xfId="1" applyFont="1" applyAlignment="1">
      <alignment wrapText="1"/>
    </xf>
    <xf numFmtId="49" fontId="6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center" vertical="center"/>
    </xf>
    <xf numFmtId="49" fontId="8" fillId="3" borderId="2" xfId="1" applyNumberFormat="1" applyFont="1" applyFill="1" applyBorder="1" applyAlignment="1">
      <alignment horizontal="left" wrapText="1"/>
    </xf>
    <xf numFmtId="165" fontId="8" fillId="3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8" fillId="0" borderId="0" xfId="1" applyFont="1" applyFill="1" applyAlignment="1"/>
    <xf numFmtId="0" fontId="6" fillId="0" borderId="6" xfId="1" applyFont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49" fontId="6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wrapText="1"/>
    </xf>
    <xf numFmtId="165" fontId="8" fillId="5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16" fillId="0" borderId="0" xfId="0" applyFont="1" applyBorder="1" applyAlignment="1"/>
    <xf numFmtId="0" fontId="8" fillId="0" borderId="0" xfId="0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49" fontId="17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6" fillId="0" borderId="0" xfId="0" applyFont="1"/>
    <xf numFmtId="49" fontId="8" fillId="0" borderId="2" xfId="0" applyNumberFormat="1" applyFont="1" applyFill="1" applyBorder="1" applyAlignment="1">
      <alignment wrapText="1"/>
    </xf>
    <xf numFmtId="0" fontId="6" fillId="0" borderId="2" xfId="1" applyFont="1" applyFill="1" applyBorder="1" applyAlignment="1">
      <alignment vertical="center" wrapText="1"/>
    </xf>
    <xf numFmtId="0" fontId="10" fillId="0" borderId="0" xfId="1"/>
    <xf numFmtId="166" fontId="6" fillId="0" borderId="2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0" fontId="19" fillId="0" borderId="0" xfId="1" applyFont="1"/>
    <xf numFmtId="165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19" fillId="0" borderId="0" xfId="0" applyFont="1" applyFill="1"/>
    <xf numFmtId="164" fontId="19" fillId="0" borderId="0" xfId="0" applyNumberFormat="1" applyFont="1"/>
    <xf numFmtId="0" fontId="19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left" wrapText="1"/>
    </xf>
    <xf numFmtId="165" fontId="8" fillId="6" borderId="2" xfId="0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165" fontId="6" fillId="6" borderId="2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wrapText="1"/>
    </xf>
    <xf numFmtId="0" fontId="21" fillId="0" borderId="0" xfId="0" applyFont="1"/>
    <xf numFmtId="0" fontId="16" fillId="0" borderId="0" xfId="0" applyFont="1" applyFill="1"/>
    <xf numFmtId="0" fontId="3" fillId="0" borderId="0" xfId="0" applyFont="1" applyFill="1" applyBorder="1" applyAlignment="1">
      <alignment horizontal="center"/>
    </xf>
    <xf numFmtId="164" fontId="14" fillId="0" borderId="0" xfId="0" applyNumberFormat="1" applyFont="1"/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/>
    <xf numFmtId="49" fontId="1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/>
    <xf numFmtId="164" fontId="5" fillId="0" borderId="0" xfId="0" applyNumberFormat="1" applyFont="1" applyFill="1"/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wrapText="1"/>
    </xf>
    <xf numFmtId="164" fontId="14" fillId="0" borderId="0" xfId="0" applyNumberFormat="1" applyFont="1" applyBorder="1"/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7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4" borderId="2" xfId="0" applyNumberFormat="1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/>
    </xf>
    <xf numFmtId="165" fontId="6" fillId="0" borderId="2" xfId="0" applyNumberFormat="1" applyFont="1" applyBorder="1"/>
    <xf numFmtId="165" fontId="6" fillId="0" borderId="2" xfId="0" applyNumberFormat="1" applyFont="1" applyFill="1" applyBorder="1"/>
  </cellXfs>
  <cellStyles count="3">
    <cellStyle name="xl40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tabSelected="1" topLeftCell="A196" zoomScaleNormal="100" workbookViewId="0">
      <selection activeCell="G96" sqref="G96"/>
    </sheetView>
  </sheetViews>
  <sheetFormatPr defaultRowHeight="15" x14ac:dyDescent="0.25"/>
  <cols>
    <col min="1" max="1" width="5.7109375" bestFit="1" customWidth="1"/>
    <col min="2" max="2" width="82.7109375" customWidth="1"/>
    <col min="3" max="3" width="12.7109375" style="63" bestFit="1" customWidth="1"/>
    <col min="4" max="4" width="12.7109375" style="63" customWidth="1"/>
    <col min="5" max="5" width="12.5703125" bestFit="1" customWidth="1"/>
  </cols>
  <sheetData>
    <row r="1" spans="1:4" ht="18.75" customHeight="1" x14ac:dyDescent="0.3">
      <c r="A1" s="148" t="s">
        <v>0</v>
      </c>
      <c r="B1" s="148"/>
      <c r="C1" s="148"/>
      <c r="D1" s="148"/>
    </row>
    <row r="2" spans="1:4" ht="18.75" x14ac:dyDescent="0.3">
      <c r="A2" s="149" t="s">
        <v>128</v>
      </c>
      <c r="B2" s="149"/>
      <c r="C2" s="149"/>
      <c r="D2" s="149"/>
    </row>
    <row r="3" spans="1:4" ht="15.75" x14ac:dyDescent="0.25">
      <c r="A3" s="1"/>
      <c r="B3" s="1"/>
      <c r="C3" s="1"/>
    </row>
    <row r="4" spans="1:4" ht="15.75" x14ac:dyDescent="0.25">
      <c r="A4" s="143" t="s">
        <v>1</v>
      </c>
      <c r="B4" s="143"/>
      <c r="C4" s="143"/>
      <c r="D4" s="143"/>
    </row>
    <row r="5" spans="1:4" x14ac:dyDescent="0.25">
      <c r="A5" s="152" t="s">
        <v>2</v>
      </c>
      <c r="B5" s="152"/>
      <c r="C5" s="152"/>
      <c r="D5" s="152"/>
    </row>
    <row r="6" spans="1:4" ht="15.75" x14ac:dyDescent="0.25">
      <c r="A6" s="2"/>
      <c r="B6" s="2"/>
      <c r="C6" s="48"/>
    </row>
    <row r="7" spans="1:4" ht="33" customHeight="1" x14ac:dyDescent="0.25">
      <c r="A7" s="132" t="s">
        <v>113</v>
      </c>
      <c r="B7" s="132"/>
      <c r="C7" s="132"/>
      <c r="D7" s="132"/>
    </row>
    <row r="8" spans="1:4" ht="15.75" x14ac:dyDescent="0.25">
      <c r="A8" s="3"/>
      <c r="B8" s="4"/>
      <c r="C8" s="47"/>
      <c r="D8" s="47"/>
    </row>
    <row r="9" spans="1:4" ht="15" customHeight="1" x14ac:dyDescent="0.25">
      <c r="A9" s="150" t="s">
        <v>3</v>
      </c>
      <c r="B9" s="151" t="s">
        <v>4</v>
      </c>
      <c r="C9" s="130" t="s">
        <v>118</v>
      </c>
      <c r="D9" s="130" t="s">
        <v>68</v>
      </c>
    </row>
    <row r="10" spans="1:4" x14ac:dyDescent="0.25">
      <c r="A10" s="150"/>
      <c r="B10" s="151"/>
      <c r="C10" s="153"/>
      <c r="D10" s="153"/>
    </row>
    <row r="11" spans="1:4" ht="15" customHeight="1" x14ac:dyDescent="0.25">
      <c r="A11" s="150"/>
      <c r="B11" s="151"/>
      <c r="C11" s="153"/>
      <c r="D11" s="153"/>
    </row>
    <row r="12" spans="1:4" x14ac:dyDescent="0.25">
      <c r="A12" s="5" t="s">
        <v>5</v>
      </c>
      <c r="B12" s="6">
        <v>2</v>
      </c>
      <c r="C12" s="5" t="s">
        <v>6</v>
      </c>
      <c r="D12" s="5" t="s">
        <v>13</v>
      </c>
    </row>
    <row r="13" spans="1:4" ht="26.25" x14ac:dyDescent="0.25">
      <c r="A13" s="7" t="s">
        <v>5</v>
      </c>
      <c r="B13" s="8" t="s">
        <v>129</v>
      </c>
      <c r="C13" s="9">
        <v>10</v>
      </c>
      <c r="D13" s="9"/>
    </row>
    <row r="14" spans="1:4" x14ac:dyDescent="0.25">
      <c r="A14" s="7" t="s">
        <v>18</v>
      </c>
      <c r="B14" s="8" t="s">
        <v>130</v>
      </c>
      <c r="C14" s="9">
        <v>745</v>
      </c>
      <c r="D14" s="9">
        <v>594.29999999999995</v>
      </c>
    </row>
    <row r="15" spans="1:4" x14ac:dyDescent="0.25">
      <c r="A15" s="83"/>
      <c r="B15" s="84" t="s">
        <v>15</v>
      </c>
      <c r="C15" s="85">
        <f>SUM(C13:C14)</f>
        <v>755</v>
      </c>
      <c r="D15" s="85">
        <f>SUM(D13:D14)</f>
        <v>594.29999999999995</v>
      </c>
    </row>
    <row r="16" spans="1:4" x14ac:dyDescent="0.25">
      <c r="A16" s="10"/>
      <c r="B16" s="11"/>
      <c r="C16" s="38"/>
      <c r="D16" s="38"/>
    </row>
    <row r="17" spans="1:14" ht="38.25" customHeight="1" x14ac:dyDescent="0.25">
      <c r="A17" s="132" t="s">
        <v>114</v>
      </c>
      <c r="B17" s="154"/>
      <c r="C17" s="154"/>
      <c r="D17" s="154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x14ac:dyDescent="0.25">
      <c r="A18" s="10"/>
      <c r="B18" s="11"/>
      <c r="C18" s="12"/>
    </row>
    <row r="19" spans="1:14" x14ac:dyDescent="0.25">
      <c r="A19" s="150" t="s">
        <v>3</v>
      </c>
      <c r="B19" s="151" t="s">
        <v>4</v>
      </c>
      <c r="C19" s="130" t="s">
        <v>118</v>
      </c>
      <c r="D19" s="130" t="s">
        <v>68</v>
      </c>
    </row>
    <row r="20" spans="1:14" x14ac:dyDescent="0.25">
      <c r="A20" s="150"/>
      <c r="B20" s="151"/>
      <c r="C20" s="153"/>
      <c r="D20" s="153"/>
    </row>
    <row r="21" spans="1:14" x14ac:dyDescent="0.25">
      <c r="A21" s="150"/>
      <c r="B21" s="151"/>
      <c r="C21" s="153"/>
      <c r="D21" s="153"/>
    </row>
    <row r="22" spans="1:14" x14ac:dyDescent="0.25">
      <c r="A22" s="5" t="s">
        <v>5</v>
      </c>
      <c r="B22" s="6">
        <v>2</v>
      </c>
      <c r="C22" s="5" t="s">
        <v>6</v>
      </c>
      <c r="D22" s="5" t="s">
        <v>13</v>
      </c>
    </row>
    <row r="23" spans="1:14" ht="39" x14ac:dyDescent="0.25">
      <c r="A23" s="7" t="s">
        <v>5</v>
      </c>
      <c r="B23" s="8" t="s">
        <v>95</v>
      </c>
      <c r="C23" s="9">
        <v>100</v>
      </c>
      <c r="D23" s="9">
        <v>0</v>
      </c>
    </row>
    <row r="24" spans="1:14" x14ac:dyDescent="0.25">
      <c r="A24" s="83"/>
      <c r="B24" s="84" t="s">
        <v>15</v>
      </c>
      <c r="C24" s="85">
        <f>SUM(C23)</f>
        <v>100</v>
      </c>
      <c r="D24" s="85">
        <f>SUM(D23)</f>
        <v>0</v>
      </c>
    </row>
    <row r="25" spans="1:14" x14ac:dyDescent="0.25">
      <c r="A25" s="10"/>
      <c r="B25" s="11"/>
      <c r="C25" s="12"/>
    </row>
    <row r="26" spans="1:14" ht="28.5" customHeight="1" x14ac:dyDescent="0.25">
      <c r="A26" s="132" t="s">
        <v>115</v>
      </c>
      <c r="B26" s="132"/>
      <c r="C26" s="132"/>
      <c r="D26" s="132"/>
      <c r="E26" s="56"/>
    </row>
    <row r="27" spans="1:14" ht="15.75" x14ac:dyDescent="0.25">
      <c r="A27" s="3"/>
      <c r="B27" s="4"/>
      <c r="C27" s="47"/>
      <c r="D27" s="47"/>
      <c r="E27" s="4"/>
    </row>
    <row r="28" spans="1:14" ht="15" customHeight="1" x14ac:dyDescent="0.25">
      <c r="A28" s="137" t="s">
        <v>16</v>
      </c>
      <c r="B28" s="137"/>
      <c r="C28" s="137"/>
      <c r="D28" s="137"/>
      <c r="E28" s="57"/>
    </row>
    <row r="29" spans="1:14" s="67" customFormat="1" ht="12.75" x14ac:dyDescent="0.2">
      <c r="A29" s="7" t="s">
        <v>5</v>
      </c>
      <c r="B29" s="13" t="s">
        <v>17</v>
      </c>
      <c r="C29" s="9">
        <v>12020.1</v>
      </c>
      <c r="D29" s="9">
        <v>5066.8</v>
      </c>
    </row>
    <row r="30" spans="1:14" ht="25.5" x14ac:dyDescent="0.25">
      <c r="A30" s="7" t="s">
        <v>18</v>
      </c>
      <c r="B30" s="13" t="s">
        <v>96</v>
      </c>
      <c r="C30" s="9">
        <v>16805.3</v>
      </c>
      <c r="D30" s="9">
        <v>16805.3</v>
      </c>
      <c r="E30" s="16"/>
    </row>
    <row r="31" spans="1:14" ht="25.5" x14ac:dyDescent="0.25">
      <c r="A31" s="7" t="s">
        <v>6</v>
      </c>
      <c r="B31" s="13" t="s">
        <v>97</v>
      </c>
      <c r="C31" s="9">
        <f>SUM(C32:C33)</f>
        <v>24676.6</v>
      </c>
      <c r="D31" s="9">
        <f>SUM(D32:D33)</f>
        <v>0</v>
      </c>
      <c r="E31" s="16"/>
    </row>
    <row r="32" spans="1:14" x14ac:dyDescent="0.25">
      <c r="A32" s="7"/>
      <c r="B32" s="37" t="s">
        <v>19</v>
      </c>
      <c r="C32" s="74">
        <v>23377.8</v>
      </c>
      <c r="D32" s="74"/>
      <c r="E32" s="16"/>
    </row>
    <row r="33" spans="1:5" x14ac:dyDescent="0.25">
      <c r="A33" s="7"/>
      <c r="B33" s="37" t="s">
        <v>20</v>
      </c>
      <c r="C33" s="74">
        <v>1298.8</v>
      </c>
      <c r="D33" s="74"/>
      <c r="E33" s="16"/>
    </row>
    <row r="34" spans="1:5" x14ac:dyDescent="0.25">
      <c r="A34" s="83"/>
      <c r="B34" s="84" t="s">
        <v>21</v>
      </c>
      <c r="C34" s="85">
        <f>SUM(C29:C31)</f>
        <v>53502</v>
      </c>
      <c r="D34" s="85">
        <f>SUM(D29:D31)</f>
        <v>21872.1</v>
      </c>
      <c r="E34" s="16"/>
    </row>
    <row r="35" spans="1:5" s="67" customFormat="1" ht="18.75" customHeight="1" x14ac:dyDescent="0.2">
      <c r="A35" s="5"/>
      <c r="B35" s="155" t="s">
        <v>22</v>
      </c>
      <c r="C35" s="156"/>
      <c r="D35" s="156"/>
    </row>
    <row r="36" spans="1:5" s="67" customFormat="1" ht="12.75" x14ac:dyDescent="0.2">
      <c r="A36" s="7" t="s">
        <v>5</v>
      </c>
      <c r="B36" s="13" t="s">
        <v>23</v>
      </c>
      <c r="C36" s="9">
        <v>30000</v>
      </c>
      <c r="D36" s="9"/>
    </row>
    <row r="37" spans="1:5" s="67" customFormat="1" ht="12.75" x14ac:dyDescent="0.2">
      <c r="A37" s="7" t="s">
        <v>18</v>
      </c>
      <c r="B37" s="13" t="s">
        <v>24</v>
      </c>
      <c r="C37" s="9">
        <v>4366.3999999999996</v>
      </c>
      <c r="D37" s="9">
        <v>3285.5</v>
      </c>
    </row>
    <row r="38" spans="1:5" s="67" customFormat="1" ht="12.75" x14ac:dyDescent="0.2">
      <c r="A38" s="7" t="s">
        <v>6</v>
      </c>
      <c r="B38" s="13" t="s">
        <v>116</v>
      </c>
      <c r="C38" s="9">
        <v>8944.7000000000007</v>
      </c>
      <c r="D38" s="9"/>
    </row>
    <row r="39" spans="1:5" s="67" customFormat="1" ht="12.75" x14ac:dyDescent="0.2">
      <c r="A39" s="7" t="s">
        <v>13</v>
      </c>
      <c r="B39" s="13" t="s">
        <v>131</v>
      </c>
      <c r="C39" s="9">
        <v>310342</v>
      </c>
      <c r="D39" s="9">
        <v>310342</v>
      </c>
    </row>
    <row r="40" spans="1:5" s="67" customFormat="1" ht="14.25" customHeight="1" x14ac:dyDescent="0.2">
      <c r="A40" s="83"/>
      <c r="B40" s="84" t="s">
        <v>21</v>
      </c>
      <c r="C40" s="85">
        <f>SUM(C36:C39)</f>
        <v>353653.1</v>
      </c>
      <c r="D40" s="85">
        <f>SUM(D36:D39)</f>
        <v>313627.5</v>
      </c>
    </row>
    <row r="41" spans="1:5" s="67" customFormat="1" ht="12" hidden="1" customHeight="1" x14ac:dyDescent="0.2">
      <c r="A41" s="86"/>
      <c r="B41" s="157" t="s">
        <v>73</v>
      </c>
      <c r="C41" s="158"/>
      <c r="D41" s="158"/>
    </row>
    <row r="42" spans="1:5" s="67" customFormat="1" ht="25.5" hidden="1" x14ac:dyDescent="0.2">
      <c r="A42" s="87" t="s">
        <v>5</v>
      </c>
      <c r="B42" s="88" t="s">
        <v>74</v>
      </c>
      <c r="C42" s="89"/>
      <c r="D42" s="89">
        <v>0</v>
      </c>
    </row>
    <row r="43" spans="1:5" s="67" customFormat="1" ht="25.5" hidden="1" x14ac:dyDescent="0.2">
      <c r="A43" s="87" t="s">
        <v>18</v>
      </c>
      <c r="B43" s="88" t="s">
        <v>75</v>
      </c>
      <c r="C43" s="89"/>
      <c r="D43" s="89">
        <v>0</v>
      </c>
    </row>
    <row r="44" spans="1:5" s="67" customFormat="1" ht="12" hidden="1" customHeight="1" x14ac:dyDescent="0.2">
      <c r="A44" s="83"/>
      <c r="B44" s="84" t="s">
        <v>21</v>
      </c>
      <c r="C44" s="85">
        <f>C42+C43</f>
        <v>0</v>
      </c>
      <c r="D44" s="85">
        <v>0</v>
      </c>
    </row>
    <row r="45" spans="1:5" s="67" customFormat="1" ht="12" customHeight="1" x14ac:dyDescent="0.2">
      <c r="A45" s="83"/>
      <c r="B45" s="84" t="s">
        <v>15</v>
      </c>
      <c r="C45" s="85">
        <f>SUM(C34,C40,C44)</f>
        <v>407155.1</v>
      </c>
      <c r="D45" s="85">
        <f>SUM(D34,D40,D44)</f>
        <v>335499.59999999998</v>
      </c>
    </row>
    <row r="46" spans="1:5" ht="15.75" x14ac:dyDescent="0.25">
      <c r="A46" s="45"/>
      <c r="B46" s="4"/>
      <c r="C46" s="4"/>
      <c r="E46" s="50"/>
    </row>
    <row r="47" spans="1:5" ht="30.75" customHeight="1" x14ac:dyDescent="0.25">
      <c r="A47" s="132" t="s">
        <v>98</v>
      </c>
      <c r="B47" s="132"/>
      <c r="C47" s="132"/>
      <c r="D47" s="132"/>
      <c r="E47" s="56"/>
    </row>
    <row r="48" spans="1:5" ht="15.75" x14ac:dyDescent="0.25">
      <c r="A48" s="45"/>
      <c r="B48" s="4"/>
      <c r="C48" s="4"/>
      <c r="D48" s="4"/>
      <c r="E48" s="4"/>
    </row>
    <row r="49" spans="1:6" s="67" customFormat="1" ht="12" customHeight="1" x14ac:dyDescent="0.2">
      <c r="A49" s="5"/>
      <c r="B49" s="155" t="s">
        <v>25</v>
      </c>
      <c r="C49" s="156"/>
      <c r="D49" s="156"/>
    </row>
    <row r="50" spans="1:6" s="67" customFormat="1" ht="12.75" x14ac:dyDescent="0.2">
      <c r="A50" s="7" t="s">
        <v>5</v>
      </c>
      <c r="B50" s="13" t="s">
        <v>26</v>
      </c>
      <c r="C50" s="9">
        <v>13838.2</v>
      </c>
      <c r="D50" s="9">
        <v>7996.4</v>
      </c>
    </row>
    <row r="51" spans="1:6" s="67" customFormat="1" ht="12" customHeight="1" x14ac:dyDescent="0.2">
      <c r="A51" s="83"/>
      <c r="B51" s="84" t="s">
        <v>21</v>
      </c>
      <c r="C51" s="85">
        <f>SUM(C50)</f>
        <v>13838.2</v>
      </c>
      <c r="D51" s="85">
        <f>SUM(D50)</f>
        <v>7996.4</v>
      </c>
    </row>
    <row r="52" spans="1:6" s="67" customFormat="1" ht="12" customHeight="1" x14ac:dyDescent="0.2">
      <c r="A52" s="5"/>
      <c r="B52" s="155" t="s">
        <v>27</v>
      </c>
      <c r="C52" s="156"/>
      <c r="D52" s="156"/>
    </row>
    <row r="53" spans="1:6" s="67" customFormat="1" ht="12.75" x14ac:dyDescent="0.2">
      <c r="A53" s="7" t="s">
        <v>5</v>
      </c>
      <c r="B53" s="13" t="s">
        <v>28</v>
      </c>
      <c r="C53" s="9">
        <v>4637.8</v>
      </c>
      <c r="D53" s="9">
        <v>2093.6</v>
      </c>
    </row>
    <row r="54" spans="1:6" s="67" customFormat="1" ht="12" customHeight="1" x14ac:dyDescent="0.2">
      <c r="A54" s="83"/>
      <c r="B54" s="84" t="s">
        <v>21</v>
      </c>
      <c r="C54" s="85">
        <f>SUM(C53)</f>
        <v>4637.8</v>
      </c>
      <c r="D54" s="85">
        <f>SUM(D53)</f>
        <v>2093.6</v>
      </c>
    </row>
    <row r="55" spans="1:6" s="67" customFormat="1" ht="12" customHeight="1" x14ac:dyDescent="0.2">
      <c r="A55" s="68"/>
      <c r="B55" s="155" t="s">
        <v>29</v>
      </c>
      <c r="C55" s="155"/>
      <c r="D55" s="155"/>
      <c r="F55" s="92"/>
    </row>
    <row r="56" spans="1:6" s="67" customFormat="1" ht="12" customHeight="1" x14ac:dyDescent="0.2">
      <c r="A56" s="7" t="s">
        <v>5</v>
      </c>
      <c r="B56" s="13" t="s">
        <v>30</v>
      </c>
      <c r="C56" s="9">
        <v>990</v>
      </c>
      <c r="D56" s="9">
        <v>551.79999999999995</v>
      </c>
      <c r="F56" s="92"/>
    </row>
    <row r="57" spans="1:6" ht="12" customHeight="1" x14ac:dyDescent="0.25">
      <c r="A57" s="7" t="s">
        <v>18</v>
      </c>
      <c r="B57" s="13" t="s">
        <v>110</v>
      </c>
      <c r="C57" s="9">
        <f>C58+C59</f>
        <v>0</v>
      </c>
      <c r="D57" s="9"/>
      <c r="F57" s="76"/>
    </row>
    <row r="58" spans="1:6" ht="12" customHeight="1" x14ac:dyDescent="0.25">
      <c r="A58" s="7"/>
      <c r="B58" s="37" t="s">
        <v>19</v>
      </c>
      <c r="C58" s="9"/>
      <c r="D58" s="9"/>
      <c r="F58" s="76"/>
    </row>
    <row r="59" spans="1:6" ht="12" customHeight="1" x14ac:dyDescent="0.25">
      <c r="A59" s="7"/>
      <c r="B59" s="37" t="s">
        <v>20</v>
      </c>
      <c r="C59" s="9"/>
      <c r="D59" s="9"/>
      <c r="F59" s="76"/>
    </row>
    <row r="60" spans="1:6" s="67" customFormat="1" ht="12" customHeight="1" x14ac:dyDescent="0.2">
      <c r="A60" s="83"/>
      <c r="B60" s="84" t="s">
        <v>21</v>
      </c>
      <c r="C60" s="85">
        <f>SUM(C56:C59)</f>
        <v>990</v>
      </c>
      <c r="D60" s="85">
        <f>SUM(D56:D59)</f>
        <v>551.79999999999995</v>
      </c>
      <c r="F60" s="92"/>
    </row>
    <row r="61" spans="1:6" s="67" customFormat="1" ht="12" customHeight="1" x14ac:dyDescent="0.2">
      <c r="A61" s="83"/>
      <c r="B61" s="84" t="s">
        <v>15</v>
      </c>
      <c r="C61" s="85">
        <f>SUM(C60,C51,C54)</f>
        <v>19466</v>
      </c>
      <c r="D61" s="85">
        <f>SUM(D60,D51,D54)</f>
        <v>10641.8</v>
      </c>
      <c r="F61" s="92"/>
    </row>
    <row r="62" spans="1:6" x14ac:dyDescent="0.25">
      <c r="A62" s="10"/>
      <c r="B62" s="11"/>
      <c r="C62" s="12"/>
      <c r="D62" s="12"/>
      <c r="E62" s="12"/>
      <c r="F62" s="76"/>
    </row>
    <row r="63" spans="1:6" ht="30.75" customHeight="1" x14ac:dyDescent="0.25">
      <c r="A63" s="132" t="s">
        <v>117</v>
      </c>
      <c r="B63" s="132"/>
      <c r="C63" s="132"/>
      <c r="D63" s="132"/>
      <c r="E63" s="56"/>
      <c r="F63" s="76"/>
    </row>
    <row r="64" spans="1:6" x14ac:dyDescent="0.25">
      <c r="A64" s="14"/>
      <c r="B64" s="14"/>
      <c r="C64" s="58"/>
      <c r="D64" s="58"/>
      <c r="E64" s="14"/>
      <c r="F64" s="76"/>
    </row>
    <row r="65" spans="1:6" s="67" customFormat="1" ht="12.75" x14ac:dyDescent="0.2">
      <c r="A65" s="7" t="s">
        <v>5</v>
      </c>
      <c r="B65" s="13" t="s">
        <v>32</v>
      </c>
      <c r="C65" s="9">
        <v>15310.9</v>
      </c>
      <c r="D65" s="9">
        <v>7603.2</v>
      </c>
      <c r="F65" s="92"/>
    </row>
    <row r="66" spans="1:6" s="67" customFormat="1" ht="12.75" x14ac:dyDescent="0.2">
      <c r="A66" s="7" t="s">
        <v>18</v>
      </c>
      <c r="B66" s="13" t="s">
        <v>132</v>
      </c>
      <c r="C66" s="9">
        <v>3840</v>
      </c>
      <c r="D66" s="9">
        <v>3839.8</v>
      </c>
      <c r="F66" s="92"/>
    </row>
    <row r="67" spans="1:6" s="67" customFormat="1" ht="12.75" x14ac:dyDescent="0.2">
      <c r="A67" s="7" t="s">
        <v>6</v>
      </c>
      <c r="B67" s="13" t="s">
        <v>31</v>
      </c>
      <c r="C67" s="9">
        <v>5130.2</v>
      </c>
      <c r="D67" s="9">
        <v>3820.4</v>
      </c>
    </row>
    <row r="68" spans="1:6" s="67" customFormat="1" ht="19.5" customHeight="1" x14ac:dyDescent="0.2">
      <c r="A68" s="7" t="s">
        <v>13</v>
      </c>
      <c r="B68" s="15" t="s">
        <v>33</v>
      </c>
      <c r="C68" s="9">
        <v>4323.1000000000004</v>
      </c>
      <c r="D68" s="9">
        <v>1982.9</v>
      </c>
    </row>
    <row r="69" spans="1:6" s="67" customFormat="1" ht="13.5" customHeight="1" x14ac:dyDescent="0.2">
      <c r="A69" s="7" t="s">
        <v>7</v>
      </c>
      <c r="B69" s="15" t="s">
        <v>34</v>
      </c>
      <c r="C69" s="9">
        <v>315.60000000000002</v>
      </c>
      <c r="D69" s="9"/>
    </row>
    <row r="70" spans="1:6" s="67" customFormat="1" ht="12.75" x14ac:dyDescent="0.2">
      <c r="A70" s="7" t="s">
        <v>8</v>
      </c>
      <c r="B70" s="15" t="s">
        <v>35</v>
      </c>
      <c r="C70" s="9">
        <v>1410.7</v>
      </c>
      <c r="D70" s="9"/>
    </row>
    <row r="71" spans="1:6" s="67" customFormat="1" ht="12.75" x14ac:dyDescent="0.2">
      <c r="A71" s="7" t="s">
        <v>9</v>
      </c>
      <c r="B71" s="15" t="s">
        <v>36</v>
      </c>
      <c r="C71" s="9">
        <v>18131.2</v>
      </c>
      <c r="D71" s="9">
        <v>1670.4</v>
      </c>
    </row>
    <row r="72" spans="1:6" s="67" customFormat="1" ht="25.5" x14ac:dyDescent="0.2">
      <c r="A72" s="7" t="s">
        <v>10</v>
      </c>
      <c r="B72" s="13" t="s">
        <v>133</v>
      </c>
      <c r="C72" s="9">
        <v>1290.5</v>
      </c>
      <c r="D72" s="9"/>
    </row>
    <row r="73" spans="1:6" s="67" customFormat="1" ht="19.5" hidden="1" customHeight="1" x14ac:dyDescent="0.2">
      <c r="A73" s="7"/>
      <c r="B73" s="13"/>
      <c r="C73" s="9"/>
      <c r="D73" s="9"/>
    </row>
    <row r="74" spans="1:6" s="67" customFormat="1" ht="19.5" customHeight="1" x14ac:dyDescent="0.2">
      <c r="A74" s="7" t="s">
        <v>11</v>
      </c>
      <c r="B74" s="13" t="s">
        <v>37</v>
      </c>
      <c r="C74" s="9">
        <v>28972</v>
      </c>
      <c r="D74" s="9">
        <v>7915.7</v>
      </c>
    </row>
    <row r="75" spans="1:6" s="67" customFormat="1" ht="19.5" customHeight="1" x14ac:dyDescent="0.2">
      <c r="A75" s="7" t="s">
        <v>12</v>
      </c>
      <c r="B75" s="13" t="s">
        <v>38</v>
      </c>
      <c r="C75" s="9">
        <v>7797.6</v>
      </c>
      <c r="D75" s="49">
        <v>4101.8999999999996</v>
      </c>
    </row>
    <row r="76" spans="1:6" s="67" customFormat="1" ht="12" hidden="1" customHeight="1" x14ac:dyDescent="0.2">
      <c r="A76" s="7"/>
      <c r="B76" s="8"/>
      <c r="C76" s="9"/>
      <c r="D76" s="9"/>
    </row>
    <row r="77" spans="1:6" s="67" customFormat="1" ht="12" hidden="1" customHeight="1" x14ac:dyDescent="0.2">
      <c r="A77" s="7"/>
      <c r="B77" s="37"/>
      <c r="C77" s="74"/>
      <c r="D77" s="74"/>
    </row>
    <row r="78" spans="1:6" s="67" customFormat="1" ht="12" hidden="1" customHeight="1" x14ac:dyDescent="0.2">
      <c r="A78" s="7"/>
      <c r="B78" s="37"/>
      <c r="C78" s="74"/>
      <c r="D78" s="74"/>
    </row>
    <row r="79" spans="1:6" s="67" customFormat="1" ht="25.5" hidden="1" customHeight="1" x14ac:dyDescent="0.2">
      <c r="A79" s="7"/>
      <c r="B79" s="69"/>
      <c r="C79" s="9"/>
      <c r="D79" s="9"/>
    </row>
    <row r="80" spans="1:6" s="67" customFormat="1" ht="12.75" hidden="1" customHeight="1" x14ac:dyDescent="0.2">
      <c r="A80" s="7"/>
      <c r="B80" s="37"/>
      <c r="C80" s="74"/>
      <c r="D80" s="75"/>
    </row>
    <row r="81" spans="1:5" s="67" customFormat="1" ht="12.75" hidden="1" customHeight="1" x14ac:dyDescent="0.2">
      <c r="A81" s="7"/>
      <c r="B81" s="37"/>
      <c r="C81" s="74"/>
      <c r="D81" s="75"/>
    </row>
    <row r="82" spans="1:5" ht="12.75" customHeight="1" x14ac:dyDescent="0.25">
      <c r="A82" s="7" t="s">
        <v>54</v>
      </c>
      <c r="B82" s="13" t="s">
        <v>99</v>
      </c>
      <c r="C82" s="9">
        <f>SUM(C83:C85)</f>
        <v>9080.4</v>
      </c>
      <c r="D82" s="9">
        <f>SUM(D83:D85)</f>
        <v>0</v>
      </c>
    </row>
    <row r="83" spans="1:5" ht="12.75" customHeight="1" x14ac:dyDescent="0.25">
      <c r="A83" s="7"/>
      <c r="B83" s="37" t="s">
        <v>19</v>
      </c>
      <c r="C83" s="74">
        <v>8041.3</v>
      </c>
      <c r="D83" s="74"/>
    </row>
    <row r="84" spans="1:5" ht="12.75" customHeight="1" x14ac:dyDescent="0.25">
      <c r="A84" s="7"/>
      <c r="B84" s="37" t="s">
        <v>20</v>
      </c>
      <c r="C84" s="74">
        <v>981.8</v>
      </c>
      <c r="D84" s="74"/>
      <c r="E84" s="16"/>
    </row>
    <row r="85" spans="1:5" ht="12.75" customHeight="1" x14ac:dyDescent="0.25">
      <c r="A85" s="7"/>
      <c r="B85" s="37" t="s">
        <v>134</v>
      </c>
      <c r="C85" s="74">
        <v>57.3</v>
      </c>
      <c r="D85" s="74"/>
      <c r="E85" s="16"/>
    </row>
    <row r="86" spans="1:5" s="67" customFormat="1" ht="12" customHeight="1" x14ac:dyDescent="0.2">
      <c r="A86" s="83"/>
      <c r="B86" s="84" t="s">
        <v>15</v>
      </c>
      <c r="C86" s="85">
        <f>SUM(C65:C82)</f>
        <v>95602.200000000012</v>
      </c>
      <c r="D86" s="85">
        <f>SUM(D65:D82)</f>
        <v>30934.300000000003</v>
      </c>
    </row>
    <row r="87" spans="1:5" x14ac:dyDescent="0.25">
      <c r="A87" s="16"/>
      <c r="B87" s="17"/>
      <c r="C87" s="18"/>
      <c r="D87" s="18"/>
      <c r="E87" s="54"/>
    </row>
    <row r="88" spans="1:5" ht="15.75" x14ac:dyDescent="0.25">
      <c r="A88" s="132" t="s">
        <v>100</v>
      </c>
      <c r="B88" s="132"/>
      <c r="C88" s="132"/>
      <c r="D88" s="132"/>
    </row>
    <row r="89" spans="1:5" ht="15.75" x14ac:dyDescent="0.25">
      <c r="A89" s="3"/>
      <c r="B89" s="81"/>
      <c r="C89" s="47"/>
      <c r="D89" s="47"/>
    </row>
    <row r="90" spans="1:5" x14ac:dyDescent="0.25">
      <c r="A90" s="5"/>
      <c r="B90" s="155" t="s">
        <v>101</v>
      </c>
      <c r="C90" s="156"/>
      <c r="D90" s="156"/>
    </row>
    <row r="91" spans="1:5" ht="26.25" x14ac:dyDescent="0.25">
      <c r="A91" s="7" t="s">
        <v>5</v>
      </c>
      <c r="B91" s="8" t="s">
        <v>102</v>
      </c>
      <c r="C91" s="9">
        <f>1500</f>
        <v>1500</v>
      </c>
      <c r="D91" s="9"/>
    </row>
    <row r="92" spans="1:5" x14ac:dyDescent="0.25">
      <c r="A92" s="7" t="s">
        <v>18</v>
      </c>
      <c r="B92" s="8" t="s">
        <v>103</v>
      </c>
      <c r="C92" s="9">
        <v>400</v>
      </c>
      <c r="D92" s="9"/>
    </row>
    <row r="93" spans="1:5" ht="26.25" x14ac:dyDescent="0.25">
      <c r="A93" s="7" t="s">
        <v>6</v>
      </c>
      <c r="B93" s="8" t="s">
        <v>104</v>
      </c>
      <c r="C93" s="9">
        <v>25</v>
      </c>
      <c r="D93" s="9"/>
    </row>
    <row r="94" spans="1:5" x14ac:dyDescent="0.25">
      <c r="A94" s="83"/>
      <c r="B94" s="84" t="s">
        <v>21</v>
      </c>
      <c r="C94" s="85">
        <f>SUM(C91:C93)</f>
        <v>1925</v>
      </c>
      <c r="D94" s="85">
        <f>SUM(D91:D93)</f>
        <v>0</v>
      </c>
    </row>
    <row r="95" spans="1:5" ht="30" customHeight="1" x14ac:dyDescent="0.25">
      <c r="A95" s="90"/>
      <c r="B95" s="157" t="s">
        <v>105</v>
      </c>
      <c r="C95" s="157"/>
      <c r="D95" s="157"/>
    </row>
    <row r="96" spans="1:5" ht="38.25" x14ac:dyDescent="0.25">
      <c r="A96" s="7" t="s">
        <v>5</v>
      </c>
      <c r="B96" s="13" t="s">
        <v>106</v>
      </c>
      <c r="C96" s="9">
        <v>1500</v>
      </c>
      <c r="D96" s="9"/>
    </row>
    <row r="97" spans="1:5" ht="25.5" x14ac:dyDescent="0.25">
      <c r="A97" s="7" t="s">
        <v>18</v>
      </c>
      <c r="B97" s="13" t="s">
        <v>107</v>
      </c>
      <c r="C97" s="9">
        <v>25</v>
      </c>
      <c r="D97" s="9"/>
    </row>
    <row r="98" spans="1:5" x14ac:dyDescent="0.25">
      <c r="A98" s="83"/>
      <c r="B98" s="84" t="s">
        <v>21</v>
      </c>
      <c r="C98" s="85">
        <f>SUM(C96:C97)</f>
        <v>1525</v>
      </c>
      <c r="D98" s="85">
        <f>SUM(D96:D97)</f>
        <v>0</v>
      </c>
    </row>
    <row r="99" spans="1:5" x14ac:dyDescent="0.25">
      <c r="A99" s="83"/>
      <c r="B99" s="84" t="s">
        <v>15</v>
      </c>
      <c r="C99" s="85">
        <f>SUM(C94,C98)</f>
        <v>3450</v>
      </c>
      <c r="D99" s="85">
        <f>SUM(D94,D98)</f>
        <v>0</v>
      </c>
    </row>
    <row r="100" spans="1:5" x14ac:dyDescent="0.25">
      <c r="A100" s="10"/>
      <c r="B100" s="11"/>
      <c r="C100" s="38"/>
      <c r="D100" s="38"/>
    </row>
    <row r="101" spans="1:5" x14ac:dyDescent="0.25">
      <c r="A101" s="51"/>
      <c r="B101" s="53"/>
      <c r="C101" s="52"/>
      <c r="E101" s="50"/>
    </row>
    <row r="102" spans="1:5" ht="15.75" x14ac:dyDescent="0.25">
      <c r="A102" s="138" t="s">
        <v>39</v>
      </c>
      <c r="B102" s="138"/>
      <c r="C102" s="138"/>
      <c r="D102" s="138"/>
    </row>
    <row r="103" spans="1:5" x14ac:dyDescent="0.25">
      <c r="A103" s="139" t="s">
        <v>2</v>
      </c>
      <c r="B103" s="139"/>
      <c r="C103" s="139"/>
      <c r="D103" s="139"/>
    </row>
    <row r="104" spans="1:5" x14ac:dyDescent="0.25">
      <c r="A104" s="19"/>
      <c r="B104" s="20"/>
      <c r="C104" s="59"/>
    </row>
    <row r="105" spans="1:5" s="55" customFormat="1" ht="34.5" customHeight="1" x14ac:dyDescent="0.25">
      <c r="A105" s="138" t="s">
        <v>119</v>
      </c>
      <c r="B105" s="138"/>
      <c r="C105" s="138"/>
      <c r="D105" s="138"/>
    </row>
    <row r="106" spans="1:5" s="55" customFormat="1" ht="15.75" customHeight="1" x14ac:dyDescent="0.25">
      <c r="A106" s="21"/>
      <c r="B106" s="22"/>
      <c r="C106" s="22"/>
      <c r="D106" s="46"/>
    </row>
    <row r="107" spans="1:5" s="55" customFormat="1" ht="15" customHeight="1" x14ac:dyDescent="0.25">
      <c r="A107" s="145" t="s">
        <v>3</v>
      </c>
      <c r="B107" s="120" t="s">
        <v>4</v>
      </c>
      <c r="C107" s="123" t="s">
        <v>118</v>
      </c>
      <c r="D107" s="123" t="s">
        <v>68</v>
      </c>
    </row>
    <row r="108" spans="1:5" s="55" customFormat="1" ht="15" customHeight="1" x14ac:dyDescent="0.25">
      <c r="A108" s="146"/>
      <c r="B108" s="121"/>
      <c r="C108" s="124"/>
      <c r="D108" s="124"/>
    </row>
    <row r="109" spans="1:5" s="55" customFormat="1" x14ac:dyDescent="0.25">
      <c r="A109" s="146"/>
      <c r="B109" s="121"/>
      <c r="C109" s="124"/>
      <c r="D109" s="124"/>
    </row>
    <row r="110" spans="1:5" s="55" customFormat="1" x14ac:dyDescent="0.25">
      <c r="A110" s="147"/>
      <c r="B110" s="122"/>
      <c r="C110" s="125"/>
      <c r="D110" s="125"/>
    </row>
    <row r="111" spans="1:5" s="55" customFormat="1" x14ac:dyDescent="0.25">
      <c r="A111" s="23" t="s">
        <v>5</v>
      </c>
      <c r="B111" s="24">
        <v>2</v>
      </c>
      <c r="C111" s="23" t="s">
        <v>6</v>
      </c>
      <c r="D111" s="24" t="s">
        <v>10</v>
      </c>
    </row>
    <row r="112" spans="1:5" s="55" customFormat="1" x14ac:dyDescent="0.25">
      <c r="A112" s="23"/>
      <c r="B112" s="140" t="s">
        <v>40</v>
      </c>
      <c r="C112" s="141"/>
      <c r="D112" s="141"/>
    </row>
    <row r="113" spans="1:4" s="55" customFormat="1" x14ac:dyDescent="0.25">
      <c r="A113" s="25" t="s">
        <v>5</v>
      </c>
      <c r="B113" s="26" t="s">
        <v>41</v>
      </c>
      <c r="C113" s="27">
        <v>300</v>
      </c>
      <c r="D113" s="27">
        <v>0</v>
      </c>
    </row>
    <row r="114" spans="1:4" s="55" customFormat="1" x14ac:dyDescent="0.25">
      <c r="A114" s="28"/>
      <c r="B114" s="29" t="s">
        <v>15</v>
      </c>
      <c r="C114" s="30">
        <f t="shared" ref="C114:D114" si="0">SUM(C113)</f>
        <v>300</v>
      </c>
      <c r="D114" s="30">
        <f t="shared" si="0"/>
        <v>0</v>
      </c>
    </row>
    <row r="115" spans="1:4" s="55" customFormat="1" x14ac:dyDescent="0.25">
      <c r="A115" s="31"/>
      <c r="B115" s="32"/>
      <c r="C115" s="33"/>
      <c r="D115" s="34"/>
    </row>
    <row r="116" spans="1:4" s="55" customFormat="1" ht="30" customHeight="1" x14ac:dyDescent="0.25">
      <c r="A116" s="138" t="s">
        <v>77</v>
      </c>
      <c r="B116" s="138"/>
      <c r="C116" s="138"/>
      <c r="D116" s="138"/>
    </row>
    <row r="117" spans="1:4" s="55" customFormat="1" x14ac:dyDescent="0.25">
      <c r="A117" s="35"/>
      <c r="B117" s="35"/>
      <c r="C117" s="35"/>
      <c r="D117" s="35"/>
    </row>
    <row r="118" spans="1:4" s="70" customFormat="1" ht="12.75" x14ac:dyDescent="0.2">
      <c r="A118" s="60"/>
      <c r="B118" s="140" t="s">
        <v>42</v>
      </c>
      <c r="C118" s="141"/>
      <c r="D118" s="141"/>
    </row>
    <row r="119" spans="1:4" s="70" customFormat="1" ht="12.75" x14ac:dyDescent="0.2">
      <c r="A119" s="25" t="s">
        <v>5</v>
      </c>
      <c r="B119" s="36" t="s">
        <v>43</v>
      </c>
      <c r="C119" s="71">
        <f>SUM(C120:C121)</f>
        <v>10029.9</v>
      </c>
      <c r="D119" s="71">
        <f t="shared" ref="D119" si="1">SUM(D120:D121)</f>
        <v>7095.8</v>
      </c>
    </row>
    <row r="120" spans="1:4" s="73" customFormat="1" ht="12.75" x14ac:dyDescent="0.2">
      <c r="A120" s="61"/>
      <c r="B120" s="37" t="s">
        <v>19</v>
      </c>
      <c r="C120" s="72">
        <v>9928.7999999999993</v>
      </c>
      <c r="D120" s="72">
        <v>7088.7</v>
      </c>
    </row>
    <row r="121" spans="1:4" s="73" customFormat="1" ht="12.75" x14ac:dyDescent="0.2">
      <c r="A121" s="61"/>
      <c r="B121" s="37" t="s">
        <v>20</v>
      </c>
      <c r="C121" s="72">
        <v>101.1</v>
      </c>
      <c r="D121" s="72">
        <v>7.1</v>
      </c>
    </row>
    <row r="122" spans="1:4" s="70" customFormat="1" ht="12.75" x14ac:dyDescent="0.2">
      <c r="A122" s="28"/>
      <c r="B122" s="29" t="s">
        <v>21</v>
      </c>
      <c r="C122" s="30">
        <f t="shared" ref="C122:D122" si="2">SUM(C119)</f>
        <v>10029.9</v>
      </c>
      <c r="D122" s="30">
        <f t="shared" si="2"/>
        <v>7095.8</v>
      </c>
    </row>
    <row r="123" spans="1:4" s="70" customFormat="1" ht="27.75" customHeight="1" x14ac:dyDescent="0.2">
      <c r="A123" s="60"/>
      <c r="B123" s="140" t="s">
        <v>44</v>
      </c>
      <c r="C123" s="141"/>
      <c r="D123" s="141"/>
    </row>
    <row r="124" spans="1:4" s="70" customFormat="1" ht="25.5" x14ac:dyDescent="0.2">
      <c r="A124" s="25" t="s">
        <v>5</v>
      </c>
      <c r="B124" s="36" t="s">
        <v>45</v>
      </c>
      <c r="C124" s="71">
        <f>SUM(C125:C126)</f>
        <v>58236.6</v>
      </c>
      <c r="D124" s="71">
        <f t="shared" ref="D124" si="3">SUM(D125:D126)</f>
        <v>58236.6</v>
      </c>
    </row>
    <row r="125" spans="1:4" s="73" customFormat="1" ht="12.75" x14ac:dyDescent="0.2">
      <c r="A125" s="61"/>
      <c r="B125" s="37" t="s">
        <v>19</v>
      </c>
      <c r="C125" s="72">
        <v>58178.2</v>
      </c>
      <c r="D125" s="72">
        <v>58178.2</v>
      </c>
    </row>
    <row r="126" spans="1:4" s="73" customFormat="1" ht="12.75" x14ac:dyDescent="0.2">
      <c r="A126" s="61"/>
      <c r="B126" s="37" t="s">
        <v>20</v>
      </c>
      <c r="C126" s="72">
        <v>58.4</v>
      </c>
      <c r="D126" s="72">
        <v>58.4</v>
      </c>
    </row>
    <row r="127" spans="1:4" s="70" customFormat="1" ht="12.75" x14ac:dyDescent="0.2">
      <c r="A127" s="28"/>
      <c r="B127" s="29" t="s">
        <v>21</v>
      </c>
      <c r="C127" s="30">
        <f t="shared" ref="C127:D127" si="4">SUM(C124)</f>
        <v>58236.6</v>
      </c>
      <c r="D127" s="30">
        <f t="shared" si="4"/>
        <v>58236.6</v>
      </c>
    </row>
    <row r="128" spans="1:4" s="70" customFormat="1" ht="12.75" hidden="1" x14ac:dyDescent="0.2">
      <c r="A128" s="62"/>
      <c r="B128" s="142" t="s">
        <v>46</v>
      </c>
      <c r="C128" s="142"/>
      <c r="D128" s="142"/>
    </row>
    <row r="129" spans="1:5" s="70" customFormat="1" ht="12.75" hidden="1" x14ac:dyDescent="0.2">
      <c r="A129" s="25" t="s">
        <v>5</v>
      </c>
      <c r="B129" s="36" t="s">
        <v>47</v>
      </c>
      <c r="C129" s="72">
        <f>C132</f>
        <v>0</v>
      </c>
      <c r="D129" s="72">
        <f t="shared" ref="D129" si="5">D132</f>
        <v>0</v>
      </c>
    </row>
    <row r="130" spans="1:5" s="70" customFormat="1" ht="12.75" hidden="1" x14ac:dyDescent="0.2">
      <c r="A130" s="62"/>
      <c r="B130" s="37" t="s">
        <v>19</v>
      </c>
      <c r="C130" s="72"/>
      <c r="D130" s="72"/>
    </row>
    <row r="131" spans="1:5" s="70" customFormat="1" ht="12.75" hidden="1" x14ac:dyDescent="0.2">
      <c r="A131" s="62"/>
      <c r="B131" s="37" t="s">
        <v>20</v>
      </c>
      <c r="C131" s="72"/>
      <c r="D131" s="72"/>
    </row>
    <row r="132" spans="1:5" s="70" customFormat="1" ht="12.75" hidden="1" x14ac:dyDescent="0.2">
      <c r="A132" s="28"/>
      <c r="B132" s="29" t="s">
        <v>21</v>
      </c>
      <c r="C132" s="30">
        <f>SUM(C130:C131)</f>
        <v>0</v>
      </c>
      <c r="D132" s="30">
        <f>SUM(D130:D131)</f>
        <v>0</v>
      </c>
    </row>
    <row r="133" spans="1:5" s="70" customFormat="1" ht="12.75" x14ac:dyDescent="0.2">
      <c r="A133" s="28"/>
      <c r="B133" s="29" t="s">
        <v>15</v>
      </c>
      <c r="C133" s="30">
        <f>SUM(C122,C127,C132)</f>
        <v>68266.5</v>
      </c>
      <c r="D133" s="30">
        <f t="shared" ref="D133" si="6">SUM(D122,D127,D132)</f>
        <v>65332.4</v>
      </c>
    </row>
    <row r="134" spans="1:5" s="55" customFormat="1" x14ac:dyDescent="0.25">
      <c r="C134" s="64"/>
      <c r="D134" s="64"/>
    </row>
    <row r="135" spans="1:5" ht="15.75" x14ac:dyDescent="0.25">
      <c r="A135" s="143" t="s">
        <v>48</v>
      </c>
      <c r="B135" s="143"/>
      <c r="C135" s="143"/>
      <c r="D135" s="143"/>
      <c r="E135" s="94"/>
    </row>
    <row r="136" spans="1:5" ht="15.75" x14ac:dyDescent="0.25">
      <c r="A136" s="144" t="s">
        <v>2</v>
      </c>
      <c r="B136" s="144"/>
      <c r="C136" s="144"/>
      <c r="D136" s="144"/>
      <c r="E136" s="94"/>
    </row>
    <row r="137" spans="1:5" ht="15.75" x14ac:dyDescent="0.25">
      <c r="A137" s="16"/>
      <c r="B137" s="95"/>
      <c r="C137" s="96"/>
      <c r="E137" s="94"/>
    </row>
    <row r="138" spans="1:5" ht="29.25" customHeight="1" x14ac:dyDescent="0.25">
      <c r="A138" s="132" t="s">
        <v>83</v>
      </c>
      <c r="B138" s="132"/>
      <c r="C138" s="132"/>
      <c r="D138" s="132"/>
      <c r="E138" s="97"/>
    </row>
    <row r="139" spans="1:5" ht="15.75" x14ac:dyDescent="0.25">
      <c r="A139" s="98"/>
      <c r="B139" s="93"/>
      <c r="C139" s="93"/>
      <c r="D139" s="47"/>
      <c r="E139" s="94"/>
    </row>
    <row r="140" spans="1:5" s="67" customFormat="1" ht="12" customHeight="1" x14ac:dyDescent="0.25">
      <c r="A140" s="128" t="s">
        <v>3</v>
      </c>
      <c r="B140" s="129" t="s">
        <v>4</v>
      </c>
      <c r="C140" s="130" t="s">
        <v>127</v>
      </c>
      <c r="D140" s="130" t="s">
        <v>69</v>
      </c>
      <c r="E140" s="99"/>
    </row>
    <row r="141" spans="1:5" s="67" customFormat="1" ht="15" customHeight="1" x14ac:dyDescent="0.25">
      <c r="A141" s="128"/>
      <c r="B141" s="129"/>
      <c r="C141" s="130"/>
      <c r="D141" s="130"/>
      <c r="E141" s="99"/>
    </row>
    <row r="142" spans="1:5" s="67" customFormat="1" ht="25.5" customHeight="1" x14ac:dyDescent="0.25">
      <c r="A142" s="128"/>
      <c r="B142" s="129"/>
      <c r="C142" s="130"/>
      <c r="D142" s="130"/>
      <c r="E142" s="99"/>
    </row>
    <row r="143" spans="1:5" s="67" customFormat="1" ht="12" customHeight="1" x14ac:dyDescent="0.25">
      <c r="A143" s="5" t="s">
        <v>5</v>
      </c>
      <c r="B143" s="6">
        <v>2</v>
      </c>
      <c r="C143" s="5" t="s">
        <v>6</v>
      </c>
      <c r="D143" s="5" t="s">
        <v>13</v>
      </c>
      <c r="E143" s="99"/>
    </row>
    <row r="144" spans="1:5" ht="24.75" customHeight="1" x14ac:dyDescent="0.25">
      <c r="A144" s="100"/>
      <c r="B144" s="137" t="s">
        <v>49</v>
      </c>
      <c r="C144" s="137"/>
      <c r="D144" s="137"/>
      <c r="E144" s="94"/>
    </row>
    <row r="145" spans="1:6" s="76" customFormat="1" ht="76.5" x14ac:dyDescent="0.25">
      <c r="A145" s="7" t="s">
        <v>5</v>
      </c>
      <c r="B145" s="101" t="s">
        <v>50</v>
      </c>
      <c r="C145" s="9">
        <f>SUM(C146:C149)</f>
        <v>532611</v>
      </c>
      <c r="D145" s="9">
        <f>SUM(D146:D149)</f>
        <v>384234.6</v>
      </c>
      <c r="E145" s="102"/>
    </row>
    <row r="146" spans="1:6" s="77" customFormat="1" ht="25.5" x14ac:dyDescent="0.25">
      <c r="A146" s="7"/>
      <c r="B146" s="15" t="s">
        <v>142</v>
      </c>
      <c r="C146" s="9">
        <f>61633100/1000</f>
        <v>61633.1</v>
      </c>
      <c r="D146" s="9">
        <f>43520600/1000</f>
        <v>43520.6</v>
      </c>
      <c r="E146" s="103"/>
    </row>
    <row r="147" spans="1:6" s="77" customFormat="1" ht="25.5" x14ac:dyDescent="0.25">
      <c r="A147" s="7"/>
      <c r="B147" s="15" t="s">
        <v>143</v>
      </c>
      <c r="C147" s="9">
        <f>340903200/1000</f>
        <v>340903.2</v>
      </c>
      <c r="D147" s="9">
        <f>249264000/1000</f>
        <v>249264</v>
      </c>
      <c r="E147" s="103"/>
    </row>
    <row r="148" spans="1:6" s="77" customFormat="1" ht="25.5" x14ac:dyDescent="0.25">
      <c r="A148" s="7"/>
      <c r="B148" s="104" t="s">
        <v>144</v>
      </c>
      <c r="C148" s="9">
        <f>77295500/1000</f>
        <v>77295.5</v>
      </c>
      <c r="D148" s="9">
        <f>55750000/1000</f>
        <v>55750</v>
      </c>
      <c r="E148" s="103"/>
    </row>
    <row r="149" spans="1:6" s="77" customFormat="1" ht="28.5" customHeight="1" x14ac:dyDescent="0.25">
      <c r="A149" s="7"/>
      <c r="B149" s="15" t="s">
        <v>145</v>
      </c>
      <c r="C149" s="9">
        <f>52779200/1000</f>
        <v>52779.199999999997</v>
      </c>
      <c r="D149" s="9">
        <f>35700000/1000</f>
        <v>35700</v>
      </c>
      <c r="E149" s="103"/>
    </row>
    <row r="150" spans="1:6" s="78" customFormat="1" ht="18.75" customHeight="1" x14ac:dyDescent="0.25">
      <c r="A150" s="7" t="s">
        <v>18</v>
      </c>
      <c r="B150" s="104" t="s">
        <v>70</v>
      </c>
      <c r="C150" s="9">
        <f>11295100/1000</f>
        <v>11295.1</v>
      </c>
      <c r="D150" s="9">
        <f>9658615.11/1000</f>
        <v>9658.6151099999988</v>
      </c>
      <c r="E150" s="103"/>
    </row>
    <row r="151" spans="1:6" s="78" customFormat="1" ht="24.75" customHeight="1" x14ac:dyDescent="0.25">
      <c r="A151" s="7" t="s">
        <v>6</v>
      </c>
      <c r="B151" s="105" t="s">
        <v>51</v>
      </c>
      <c r="C151" s="9">
        <f>SUM(C152:C153)</f>
        <v>5202.8</v>
      </c>
      <c r="D151" s="9">
        <f>SUM(D152:D153)</f>
        <v>3764.6296499999999</v>
      </c>
      <c r="E151" s="103"/>
    </row>
    <row r="152" spans="1:6" s="78" customFormat="1" ht="15.75" x14ac:dyDescent="0.25">
      <c r="A152" s="106"/>
      <c r="B152" s="107" t="s">
        <v>19</v>
      </c>
      <c r="C152" s="74">
        <f>5197500/1000</f>
        <v>5197.5</v>
      </c>
      <c r="D152" s="74">
        <f>3764629.65/1000</f>
        <v>3764.6296499999999</v>
      </c>
      <c r="E152" s="103"/>
    </row>
    <row r="153" spans="1:6" s="78" customFormat="1" ht="15.75" x14ac:dyDescent="0.25">
      <c r="A153" s="106"/>
      <c r="B153" s="107" t="s">
        <v>20</v>
      </c>
      <c r="C153" s="74">
        <f>5300/1000</f>
        <v>5.3</v>
      </c>
      <c r="D153" s="74">
        <v>0</v>
      </c>
      <c r="E153" s="103"/>
    </row>
    <row r="154" spans="1:6" s="78" customFormat="1" ht="25.5" x14ac:dyDescent="0.25">
      <c r="A154" s="7" t="s">
        <v>13</v>
      </c>
      <c r="B154" s="104" t="s">
        <v>71</v>
      </c>
      <c r="C154" s="9">
        <f>50000/1000</f>
        <v>50</v>
      </c>
      <c r="D154" s="9">
        <f>50000/1000</f>
        <v>50</v>
      </c>
      <c r="E154" s="103"/>
    </row>
    <row r="155" spans="1:6" s="78" customFormat="1" ht="15.75" x14ac:dyDescent="0.25">
      <c r="A155" s="7" t="s">
        <v>7</v>
      </c>
      <c r="B155" s="108" t="s">
        <v>52</v>
      </c>
      <c r="C155" s="9">
        <f>121000/1000</f>
        <v>121</v>
      </c>
      <c r="D155" s="9">
        <f>101112/1000</f>
        <v>101.11199999999999</v>
      </c>
      <c r="E155" s="103"/>
    </row>
    <row r="156" spans="1:6" s="78" customFormat="1" ht="15.75" x14ac:dyDescent="0.25">
      <c r="A156" s="7" t="s">
        <v>8</v>
      </c>
      <c r="B156" s="104" t="s">
        <v>84</v>
      </c>
      <c r="C156" s="9">
        <f>857500/1000</f>
        <v>857.5</v>
      </c>
      <c r="D156" s="9">
        <f>-331.8/1000</f>
        <v>-0.33179999999999998</v>
      </c>
      <c r="E156" s="103"/>
    </row>
    <row r="157" spans="1:6" s="80" customFormat="1" ht="15.75" x14ac:dyDescent="0.25">
      <c r="A157" s="7" t="s">
        <v>9</v>
      </c>
      <c r="B157" s="104" t="s">
        <v>53</v>
      </c>
      <c r="C157" s="9">
        <f>128000/1000</f>
        <v>128</v>
      </c>
      <c r="D157" s="9">
        <f>82047.97/1000</f>
        <v>82.047970000000007</v>
      </c>
      <c r="E157" s="99"/>
    </row>
    <row r="158" spans="1:6" s="80" customFormat="1" ht="51" x14ac:dyDescent="0.25">
      <c r="A158" s="7" t="s">
        <v>10</v>
      </c>
      <c r="B158" s="108" t="s">
        <v>146</v>
      </c>
      <c r="C158" s="9">
        <f>1149600/1000</f>
        <v>1149.5999999999999</v>
      </c>
      <c r="D158" s="9">
        <f>192000/1000</f>
        <v>192</v>
      </c>
      <c r="E158" s="99"/>
    </row>
    <row r="159" spans="1:6" s="80" customFormat="1" ht="15.75" customHeight="1" x14ac:dyDescent="0.25">
      <c r="A159" s="7" t="s">
        <v>11</v>
      </c>
      <c r="B159" s="15" t="s">
        <v>78</v>
      </c>
      <c r="C159" s="9">
        <f>264000/1000</f>
        <v>264</v>
      </c>
      <c r="D159" s="9">
        <f>30124.37/1000</f>
        <v>30.124369999999999</v>
      </c>
      <c r="E159" s="99"/>
    </row>
    <row r="160" spans="1:6" s="80" customFormat="1" ht="51" x14ac:dyDescent="0.25">
      <c r="A160" s="7" t="s">
        <v>12</v>
      </c>
      <c r="B160" s="108" t="s">
        <v>147</v>
      </c>
      <c r="C160" s="9">
        <f>6563500/1000</f>
        <v>6563.5</v>
      </c>
      <c r="D160" s="9">
        <f>4747550.77/1000</f>
        <v>4747.5507699999998</v>
      </c>
      <c r="E160" s="99"/>
      <c r="F160" s="99"/>
    </row>
    <row r="161" spans="1:6" s="80" customFormat="1" ht="25.5" x14ac:dyDescent="0.25">
      <c r="A161" s="7" t="s">
        <v>54</v>
      </c>
      <c r="B161" s="108" t="s">
        <v>55</v>
      </c>
      <c r="C161" s="159">
        <f>24129200/1000</f>
        <v>24129.200000000001</v>
      </c>
      <c r="D161" s="159">
        <f>19977606.2/1000</f>
        <v>19977.606199999998</v>
      </c>
      <c r="E161" s="99"/>
      <c r="F161" s="79"/>
    </row>
    <row r="162" spans="1:6" s="80" customFormat="1" ht="27.75" customHeight="1" x14ac:dyDescent="0.25">
      <c r="A162" s="7" t="s">
        <v>14</v>
      </c>
      <c r="B162" s="109" t="s">
        <v>79</v>
      </c>
      <c r="C162" s="159">
        <f>2520800/1000</f>
        <v>2520.8000000000002</v>
      </c>
      <c r="D162" s="159">
        <f>2519323.37/1000</f>
        <v>2519.3233700000001</v>
      </c>
      <c r="E162" s="99"/>
    </row>
    <row r="163" spans="1:6" s="80" customFormat="1" ht="24" hidden="1" x14ac:dyDescent="0.25">
      <c r="A163" s="7" t="s">
        <v>56</v>
      </c>
      <c r="B163" s="110" t="s">
        <v>108</v>
      </c>
      <c r="C163" s="9">
        <f>SUM(C164:C165)</f>
        <v>0</v>
      </c>
      <c r="D163" s="9">
        <f>SUM(D164:D165)</f>
        <v>0</v>
      </c>
      <c r="E163" s="99"/>
    </row>
    <row r="164" spans="1:6" s="80" customFormat="1" ht="15.75" hidden="1" x14ac:dyDescent="0.25">
      <c r="A164" s="106"/>
      <c r="B164" s="111" t="s">
        <v>19</v>
      </c>
      <c r="C164" s="9"/>
      <c r="D164" s="9"/>
      <c r="E164" s="99"/>
    </row>
    <row r="165" spans="1:6" s="80" customFormat="1" ht="15.75" hidden="1" x14ac:dyDescent="0.25">
      <c r="A165" s="106"/>
      <c r="B165" s="111" t="s">
        <v>20</v>
      </c>
      <c r="C165" s="9"/>
      <c r="D165" s="9"/>
      <c r="E165" s="99"/>
    </row>
    <row r="166" spans="1:6" s="80" customFormat="1" ht="26.25" x14ac:dyDescent="0.25">
      <c r="A166" s="106" t="s">
        <v>56</v>
      </c>
      <c r="B166" s="112" t="s">
        <v>126</v>
      </c>
      <c r="C166" s="9">
        <f>SUM(C167:C168)</f>
        <v>7652.5</v>
      </c>
      <c r="D166" s="9">
        <f>SUM(D167:D168)</f>
        <v>5444.0999999999995</v>
      </c>
      <c r="E166" s="99"/>
    </row>
    <row r="167" spans="1:6" s="80" customFormat="1" ht="15.75" x14ac:dyDescent="0.25">
      <c r="A167" s="106"/>
      <c r="B167" s="111" t="s">
        <v>19</v>
      </c>
      <c r="C167" s="74">
        <v>7644.8</v>
      </c>
      <c r="D167" s="74">
        <v>5438.7</v>
      </c>
      <c r="E167" s="99"/>
    </row>
    <row r="168" spans="1:6" s="80" customFormat="1" ht="15.75" x14ac:dyDescent="0.25">
      <c r="A168" s="106"/>
      <c r="B168" s="111" t="s">
        <v>20</v>
      </c>
      <c r="C168" s="74">
        <v>7.7</v>
      </c>
      <c r="D168" s="74">
        <v>5.4</v>
      </c>
      <c r="E168" s="99"/>
    </row>
    <row r="169" spans="1:6" s="80" customFormat="1" ht="26.25" x14ac:dyDescent="0.25">
      <c r="A169" s="7" t="s">
        <v>57</v>
      </c>
      <c r="B169" s="112" t="s">
        <v>87</v>
      </c>
      <c r="C169" s="9">
        <f>SUM(C170:C172)</f>
        <v>1001.1</v>
      </c>
      <c r="D169" s="9">
        <f>SUM(D170:D172)</f>
        <v>1001.001</v>
      </c>
      <c r="E169" s="99"/>
    </row>
    <row r="170" spans="1:6" s="80" customFormat="1" ht="15.75" hidden="1" x14ac:dyDescent="0.25">
      <c r="A170" s="7"/>
      <c r="B170" s="113" t="s">
        <v>86</v>
      </c>
      <c r="C170" s="9"/>
      <c r="D170" s="9"/>
      <c r="E170" s="99"/>
    </row>
    <row r="171" spans="1:6" s="80" customFormat="1" ht="15.75" x14ac:dyDescent="0.25">
      <c r="A171" s="7"/>
      <c r="B171" s="111" t="s">
        <v>19</v>
      </c>
      <c r="C171" s="74">
        <f>1000000/1000</f>
        <v>1000</v>
      </c>
      <c r="D171" s="74">
        <f>1000000/1000</f>
        <v>1000</v>
      </c>
      <c r="E171" s="99"/>
    </row>
    <row r="172" spans="1:6" s="80" customFormat="1" ht="15.75" x14ac:dyDescent="0.25">
      <c r="A172" s="7"/>
      <c r="B172" s="111" t="s">
        <v>20</v>
      </c>
      <c r="C172" s="74">
        <f>1100/1000</f>
        <v>1.1000000000000001</v>
      </c>
      <c r="D172" s="74">
        <f>1001/1000</f>
        <v>1.0009999999999999</v>
      </c>
      <c r="E172" s="99"/>
    </row>
    <row r="173" spans="1:6" s="80" customFormat="1" ht="15.75" x14ac:dyDescent="0.25">
      <c r="A173" s="7" t="s">
        <v>88</v>
      </c>
      <c r="B173" s="108" t="s">
        <v>89</v>
      </c>
      <c r="C173" s="9">
        <f>170000/1000</f>
        <v>170</v>
      </c>
      <c r="D173" s="9">
        <f>40000/1000</f>
        <v>40</v>
      </c>
      <c r="E173" s="99"/>
    </row>
    <row r="174" spans="1:6" s="80" customFormat="1" ht="25.5" x14ac:dyDescent="0.25">
      <c r="A174" s="7" t="s">
        <v>72</v>
      </c>
      <c r="B174" s="108" t="s">
        <v>120</v>
      </c>
      <c r="C174" s="9">
        <f>SUM(C175:C176)</f>
        <v>26226.400000000001</v>
      </c>
      <c r="D174" s="9">
        <f>SUM(D175:D176)</f>
        <v>19161.195770000002</v>
      </c>
      <c r="E174" s="99"/>
    </row>
    <row r="175" spans="1:6" s="80" customFormat="1" ht="15.75" x14ac:dyDescent="0.25">
      <c r="A175" s="7"/>
      <c r="B175" s="111" t="s">
        <v>19</v>
      </c>
      <c r="C175" s="74">
        <f>26200000/1000</f>
        <v>26200</v>
      </c>
      <c r="D175" s="74">
        <f>19142034.07/1000</f>
        <v>19142.034070000002</v>
      </c>
      <c r="E175" s="99"/>
    </row>
    <row r="176" spans="1:6" s="80" customFormat="1" ht="15.75" x14ac:dyDescent="0.25">
      <c r="A176" s="7"/>
      <c r="B176" s="111" t="s">
        <v>20</v>
      </c>
      <c r="C176" s="74">
        <f>26400/1000</f>
        <v>26.4</v>
      </c>
      <c r="D176" s="74">
        <f>19161.7/1000</f>
        <v>19.1617</v>
      </c>
      <c r="E176" s="99"/>
    </row>
    <row r="177" spans="1:5" s="80" customFormat="1" ht="25.5" hidden="1" x14ac:dyDescent="0.25">
      <c r="A177" s="7" t="s">
        <v>72</v>
      </c>
      <c r="B177" s="108" t="s">
        <v>90</v>
      </c>
      <c r="C177" s="9">
        <f>SUM(C178:C179)</f>
        <v>0</v>
      </c>
      <c r="D177" s="9">
        <f>SUM(D178:D179)</f>
        <v>0</v>
      </c>
      <c r="E177" s="99"/>
    </row>
    <row r="178" spans="1:5" s="80" customFormat="1" ht="15.75" hidden="1" x14ac:dyDescent="0.25">
      <c r="A178" s="7"/>
      <c r="B178" s="111" t="s">
        <v>19</v>
      </c>
      <c r="C178" s="9"/>
      <c r="D178" s="9"/>
      <c r="E178" s="99"/>
    </row>
    <row r="179" spans="1:5" s="80" customFormat="1" ht="15.75" hidden="1" x14ac:dyDescent="0.25">
      <c r="A179" s="7"/>
      <c r="B179" s="111" t="s">
        <v>20</v>
      </c>
      <c r="C179" s="9"/>
      <c r="D179" s="9"/>
      <c r="E179" s="99"/>
    </row>
    <row r="180" spans="1:5" s="80" customFormat="1" ht="25.5" hidden="1" x14ac:dyDescent="0.25">
      <c r="A180" s="7" t="s">
        <v>76</v>
      </c>
      <c r="B180" s="108" t="s">
        <v>91</v>
      </c>
      <c r="C180" s="9">
        <f>SUM(C181:C182)</f>
        <v>0</v>
      </c>
      <c r="D180" s="9">
        <f>SUM(D181:D182)</f>
        <v>0</v>
      </c>
      <c r="E180" s="99"/>
    </row>
    <row r="181" spans="1:5" s="80" customFormat="1" ht="15.75" hidden="1" x14ac:dyDescent="0.25">
      <c r="A181" s="7"/>
      <c r="B181" s="111" t="s">
        <v>19</v>
      </c>
      <c r="C181" s="9"/>
      <c r="D181" s="9"/>
      <c r="E181" s="99"/>
    </row>
    <row r="182" spans="1:5" s="80" customFormat="1" ht="15.75" hidden="1" x14ac:dyDescent="0.25">
      <c r="A182" s="7"/>
      <c r="B182" s="111" t="s">
        <v>20</v>
      </c>
      <c r="C182" s="9"/>
      <c r="D182" s="9"/>
      <c r="E182" s="99"/>
    </row>
    <row r="183" spans="1:5" s="80" customFormat="1" ht="25.5" hidden="1" x14ac:dyDescent="0.25">
      <c r="A183" s="7" t="s">
        <v>92</v>
      </c>
      <c r="B183" s="108" t="s">
        <v>85</v>
      </c>
      <c r="C183" s="74">
        <f>SUM(C184:C186)</f>
        <v>0</v>
      </c>
      <c r="D183" s="74">
        <f>SUM(D184:D186)</f>
        <v>0</v>
      </c>
      <c r="E183" s="99"/>
    </row>
    <row r="184" spans="1:5" s="80" customFormat="1" ht="15.75" hidden="1" x14ac:dyDescent="0.25">
      <c r="A184" s="106"/>
      <c r="B184" s="111" t="s">
        <v>86</v>
      </c>
      <c r="C184" s="9"/>
      <c r="D184" s="9"/>
      <c r="E184" s="99"/>
    </row>
    <row r="185" spans="1:5" s="80" customFormat="1" ht="15.75" hidden="1" x14ac:dyDescent="0.25">
      <c r="A185" s="106"/>
      <c r="B185" s="111" t="s">
        <v>19</v>
      </c>
      <c r="C185" s="9"/>
      <c r="D185" s="9"/>
      <c r="E185" s="99"/>
    </row>
    <row r="186" spans="1:5" s="80" customFormat="1" ht="15.75" hidden="1" x14ac:dyDescent="0.25">
      <c r="A186" s="106"/>
      <c r="B186" s="111" t="s">
        <v>20</v>
      </c>
      <c r="C186" s="9"/>
      <c r="D186" s="9"/>
      <c r="E186" s="99"/>
    </row>
    <row r="187" spans="1:5" s="80" customFormat="1" ht="24" x14ac:dyDescent="0.25">
      <c r="A187" s="106" t="s">
        <v>76</v>
      </c>
      <c r="B187" s="110" t="s">
        <v>111</v>
      </c>
      <c r="C187" s="9">
        <f>SUM(C188:C189)</f>
        <v>18.899999999999999</v>
      </c>
      <c r="D187" s="9">
        <f>SUM(D188:D189)</f>
        <v>0</v>
      </c>
      <c r="E187" s="99"/>
    </row>
    <row r="188" spans="1:5" s="80" customFormat="1" ht="15.75" x14ac:dyDescent="0.25">
      <c r="A188" s="106"/>
      <c r="B188" s="111" t="s">
        <v>86</v>
      </c>
      <c r="C188" s="74">
        <v>17.399999999999999</v>
      </c>
      <c r="D188" s="74"/>
      <c r="E188" s="99"/>
    </row>
    <row r="189" spans="1:5" s="80" customFormat="1" ht="15.75" x14ac:dyDescent="0.25">
      <c r="A189" s="106"/>
      <c r="B189" s="111" t="s">
        <v>19</v>
      </c>
      <c r="C189" s="74">
        <v>1.5</v>
      </c>
      <c r="D189" s="74"/>
      <c r="E189" s="99"/>
    </row>
    <row r="190" spans="1:5" s="80" customFormat="1" ht="24" x14ac:dyDescent="0.25">
      <c r="A190" s="106" t="s">
        <v>92</v>
      </c>
      <c r="B190" s="110" t="s">
        <v>137</v>
      </c>
      <c r="C190" s="9">
        <f>SUM(C191:C193)</f>
        <v>3785.5</v>
      </c>
      <c r="D190" s="9">
        <f>SUM(D191:D193)</f>
        <v>0</v>
      </c>
      <c r="E190" s="99"/>
    </row>
    <row r="191" spans="1:5" s="80" customFormat="1" ht="15.75" x14ac:dyDescent="0.25">
      <c r="A191" s="106"/>
      <c r="B191" s="111" t="s">
        <v>86</v>
      </c>
      <c r="C191" s="74">
        <f>3482700/1000</f>
        <v>3482.7</v>
      </c>
      <c r="D191" s="74">
        <v>0</v>
      </c>
      <c r="E191" s="99"/>
    </row>
    <row r="192" spans="1:5" s="80" customFormat="1" ht="15.75" x14ac:dyDescent="0.25">
      <c r="A192" s="106"/>
      <c r="B192" s="111" t="s">
        <v>19</v>
      </c>
      <c r="C192" s="74">
        <f>302800/1000</f>
        <v>302.8</v>
      </c>
      <c r="D192" s="74">
        <v>0</v>
      </c>
      <c r="E192" s="99"/>
    </row>
    <row r="193" spans="1:5" s="80" customFormat="1" ht="15.75" x14ac:dyDescent="0.25">
      <c r="A193" s="106"/>
      <c r="B193" s="111" t="s">
        <v>20</v>
      </c>
      <c r="C193" s="74">
        <v>0</v>
      </c>
      <c r="D193" s="74">
        <v>0</v>
      </c>
      <c r="E193" s="99"/>
    </row>
    <row r="194" spans="1:5" s="80" customFormat="1" ht="25.5" x14ac:dyDescent="0.25">
      <c r="A194" s="106" t="s">
        <v>109</v>
      </c>
      <c r="B194" s="108" t="s">
        <v>121</v>
      </c>
      <c r="C194" s="9">
        <f>SUM(C195:C195)</f>
        <v>4296.6000000000004</v>
      </c>
      <c r="D194" s="9">
        <f>SUM(D195:D195)</f>
        <v>1074.1500000000001</v>
      </c>
      <c r="E194" s="99"/>
    </row>
    <row r="195" spans="1:5" s="80" customFormat="1" ht="15.75" x14ac:dyDescent="0.25">
      <c r="A195" s="106"/>
      <c r="B195" s="111" t="s">
        <v>86</v>
      </c>
      <c r="C195" s="74">
        <f>4296600/1000</f>
        <v>4296.6000000000004</v>
      </c>
      <c r="D195" s="74">
        <f>1074150/1000</f>
        <v>1074.1500000000001</v>
      </c>
      <c r="E195" s="99"/>
    </row>
    <row r="196" spans="1:5" s="80" customFormat="1" ht="25.5" x14ac:dyDescent="0.25">
      <c r="A196" s="7" t="s">
        <v>112</v>
      </c>
      <c r="B196" s="108" t="s">
        <v>122</v>
      </c>
      <c r="C196" s="9">
        <f>SUM(C197:C197)</f>
        <v>6000</v>
      </c>
      <c r="D196" s="9">
        <f>SUM(D197:D197)</f>
        <v>4200</v>
      </c>
      <c r="E196" s="99"/>
    </row>
    <row r="197" spans="1:5" s="80" customFormat="1" ht="15.75" x14ac:dyDescent="0.25">
      <c r="A197" s="106"/>
      <c r="B197" s="111" t="s">
        <v>19</v>
      </c>
      <c r="C197" s="74">
        <v>6000</v>
      </c>
      <c r="D197" s="74">
        <v>4200</v>
      </c>
      <c r="E197" s="99"/>
    </row>
    <row r="198" spans="1:5" s="80" customFormat="1" ht="24" x14ac:dyDescent="0.25">
      <c r="A198" s="106" t="s">
        <v>125</v>
      </c>
      <c r="B198" s="110" t="s">
        <v>85</v>
      </c>
      <c r="C198" s="9">
        <f>SUM(C199:C201)</f>
        <v>3264.2000000000003</v>
      </c>
      <c r="D198" s="9">
        <f>SUM(D199:D201)</f>
        <v>220.32759999999996</v>
      </c>
      <c r="E198" s="99"/>
    </row>
    <row r="199" spans="1:5" s="80" customFormat="1" ht="15.75" x14ac:dyDescent="0.25">
      <c r="A199" s="106"/>
      <c r="B199" s="111" t="s">
        <v>86</v>
      </c>
      <c r="C199" s="74">
        <f>3000000/1000</f>
        <v>3000</v>
      </c>
      <c r="D199" s="74">
        <f>202496.8/1000</f>
        <v>202.49679999999998</v>
      </c>
      <c r="E199" s="99"/>
    </row>
    <row r="200" spans="1:5" s="80" customFormat="1" ht="15.75" x14ac:dyDescent="0.25">
      <c r="A200" s="106"/>
      <c r="B200" s="111" t="s">
        <v>19</v>
      </c>
      <c r="C200" s="74">
        <f>260900/1000</f>
        <v>260.89999999999998</v>
      </c>
      <c r="D200" s="74">
        <f>17610.47/1000</f>
        <v>17.610469999999999</v>
      </c>
      <c r="E200" s="99"/>
    </row>
    <row r="201" spans="1:5" s="80" customFormat="1" ht="15.75" x14ac:dyDescent="0.25">
      <c r="A201" s="106"/>
      <c r="B201" s="111" t="s">
        <v>20</v>
      </c>
      <c r="C201" s="74">
        <f>3300/1000</f>
        <v>3.3</v>
      </c>
      <c r="D201" s="74">
        <f>220.33/1000</f>
        <v>0.22033000000000003</v>
      </c>
      <c r="E201" s="99"/>
    </row>
    <row r="202" spans="1:5" s="80" customFormat="1" ht="15.75" x14ac:dyDescent="0.25">
      <c r="A202" s="7" t="s">
        <v>135</v>
      </c>
      <c r="B202" s="110" t="s">
        <v>136</v>
      </c>
      <c r="C202" s="9">
        <f>6700000/1000</f>
        <v>6700</v>
      </c>
      <c r="D202" s="9">
        <f>3107309.1/1000</f>
        <v>3107.3090999999999</v>
      </c>
      <c r="E202" s="99"/>
    </row>
    <row r="203" spans="1:5" s="80" customFormat="1" ht="24" x14ac:dyDescent="0.25">
      <c r="A203" s="7" t="s">
        <v>138</v>
      </c>
      <c r="B203" s="110" t="s">
        <v>139</v>
      </c>
      <c r="C203" s="9">
        <f>1351000/1000</f>
        <v>1351</v>
      </c>
      <c r="D203" s="9">
        <f>1350286/1000</f>
        <v>1350.2860000000001</v>
      </c>
      <c r="E203" s="99"/>
    </row>
    <row r="204" spans="1:5" s="80" customFormat="1" ht="24" x14ac:dyDescent="0.25">
      <c r="A204" s="7" t="s">
        <v>140</v>
      </c>
      <c r="B204" s="110" t="s">
        <v>141</v>
      </c>
      <c r="C204" s="9">
        <f>5628200/1000</f>
        <v>5628.2</v>
      </c>
      <c r="D204" s="9">
        <f>3001692/1000</f>
        <v>3001.692</v>
      </c>
      <c r="E204" s="99"/>
    </row>
    <row r="205" spans="1:5" s="80" customFormat="1" ht="15.75" x14ac:dyDescent="0.25">
      <c r="A205" s="28"/>
      <c r="B205" s="29" t="s">
        <v>21</v>
      </c>
      <c r="C205" s="30">
        <f>SUM(C145,C150,C151,C154,C155,C156,C157,C158,C159,C160,C161,C162,C163,C183,C169,C173,C174,C177,C180,C187,C198,C190,C194,C196,C166,C202:C204)</f>
        <v>650986.89999999991</v>
      </c>
      <c r="D205" s="30">
        <f>SUM(D145,D150,D151,D154,D155,D156,D157,D158,D159,D160,D161,D162,D163,D183,D169,D173,D174,D177,D180,D187,D198,D190,D194,D196,D166,D202:D204)</f>
        <v>463957.33911</v>
      </c>
      <c r="E205" s="99"/>
    </row>
    <row r="206" spans="1:5" s="80" customFormat="1" ht="23.25" customHeight="1" x14ac:dyDescent="0.25">
      <c r="A206" s="114"/>
      <c r="B206" s="131" t="s">
        <v>58</v>
      </c>
      <c r="C206" s="131"/>
      <c r="D206" s="131"/>
      <c r="E206" s="99"/>
    </row>
    <row r="207" spans="1:5" ht="15.75" x14ac:dyDescent="0.25">
      <c r="A207" s="7"/>
      <c r="B207" s="15" t="s">
        <v>59</v>
      </c>
      <c r="C207" s="9">
        <f>10979200/1000</f>
        <v>10979.2</v>
      </c>
      <c r="D207" s="9">
        <f>6960000/1000</f>
        <v>6960</v>
      </c>
      <c r="E207" s="94"/>
    </row>
    <row r="208" spans="1:5" s="76" customFormat="1" ht="25.5" x14ac:dyDescent="0.25">
      <c r="A208" s="7"/>
      <c r="B208" s="115" t="s">
        <v>80</v>
      </c>
      <c r="C208" s="9">
        <f>86436500/1000</f>
        <v>86436.5</v>
      </c>
      <c r="D208" s="9">
        <f>57095000/1000</f>
        <v>57095</v>
      </c>
      <c r="E208" s="102"/>
    </row>
    <row r="209" spans="1:5" s="76" customFormat="1" ht="15.75" x14ac:dyDescent="0.25">
      <c r="A209" s="7"/>
      <c r="B209" s="115" t="s">
        <v>81</v>
      </c>
      <c r="C209" s="9">
        <f>11015200/1000</f>
        <v>11015.2</v>
      </c>
      <c r="D209" s="9">
        <f>9382000/1000</f>
        <v>9382</v>
      </c>
      <c r="E209" s="102"/>
    </row>
    <row r="210" spans="1:5" s="76" customFormat="1" ht="25.5" x14ac:dyDescent="0.25">
      <c r="A210" s="7"/>
      <c r="B210" s="15" t="s">
        <v>82</v>
      </c>
      <c r="C210" s="9">
        <f>12747500/1000</f>
        <v>12747.5</v>
      </c>
      <c r="D210" s="9">
        <f>9700000/1000</f>
        <v>9700</v>
      </c>
      <c r="E210" s="102"/>
    </row>
    <row r="211" spans="1:5" s="78" customFormat="1" ht="15.75" x14ac:dyDescent="0.25">
      <c r="A211" s="7"/>
      <c r="B211" s="115" t="s">
        <v>60</v>
      </c>
      <c r="C211" s="9">
        <f>60067000/1000</f>
        <v>60067</v>
      </c>
      <c r="D211" s="9">
        <f>42200000/1000</f>
        <v>42200</v>
      </c>
      <c r="E211" s="102"/>
    </row>
    <row r="212" spans="1:5" s="78" customFormat="1" ht="15.75" x14ac:dyDescent="0.25">
      <c r="A212" s="7"/>
      <c r="B212" s="15" t="s">
        <v>61</v>
      </c>
      <c r="C212" s="9">
        <f>15448400/1000</f>
        <v>15448.4</v>
      </c>
      <c r="D212" s="9">
        <f>10545000/1000</f>
        <v>10545</v>
      </c>
      <c r="E212" s="102"/>
    </row>
    <row r="213" spans="1:5" s="78" customFormat="1" ht="15.75" x14ac:dyDescent="0.25">
      <c r="A213" s="7"/>
      <c r="B213" s="15" t="s">
        <v>62</v>
      </c>
      <c r="C213" s="9">
        <f>30995600/1000</f>
        <v>30995.599999999999</v>
      </c>
      <c r="D213" s="9">
        <f>21965000/1000</f>
        <v>21965</v>
      </c>
      <c r="E213" s="102"/>
    </row>
    <row r="214" spans="1:5" s="80" customFormat="1" ht="15.75" x14ac:dyDescent="0.25">
      <c r="A214" s="28"/>
      <c r="B214" s="29" t="s">
        <v>21</v>
      </c>
      <c r="C214" s="30">
        <f>SUM(C207:C213)</f>
        <v>227689.4</v>
      </c>
      <c r="D214" s="30">
        <f>SUM(D207:D213)</f>
        <v>157847</v>
      </c>
      <c r="E214" s="99"/>
    </row>
    <row r="215" spans="1:5" ht="15.75" x14ac:dyDescent="0.25">
      <c r="A215" s="28"/>
      <c r="B215" s="29" t="s">
        <v>15</v>
      </c>
      <c r="C215" s="30">
        <f>SUM(C205,C214,)</f>
        <v>878676.29999999993</v>
      </c>
      <c r="D215" s="30">
        <f>SUM(D205,D214,)</f>
        <v>621804.33911000006</v>
      </c>
      <c r="E215" s="94"/>
    </row>
    <row r="216" spans="1:5" ht="15.75" x14ac:dyDescent="0.25">
      <c r="A216" s="10"/>
      <c r="B216" s="11"/>
      <c r="C216" s="12"/>
      <c r="D216" s="12"/>
      <c r="E216" s="94"/>
    </row>
    <row r="217" spans="1:5" ht="35.25" customHeight="1" x14ac:dyDescent="0.25">
      <c r="A217" s="132" t="s">
        <v>93</v>
      </c>
      <c r="B217" s="132"/>
      <c r="C217" s="132"/>
      <c r="D217" s="132"/>
      <c r="E217" s="94"/>
    </row>
    <row r="218" spans="1:5" ht="15.75" x14ac:dyDescent="0.25">
      <c r="A218" s="14"/>
      <c r="B218" s="14"/>
      <c r="C218" s="14"/>
      <c r="D218" s="14"/>
      <c r="E218" s="94"/>
    </row>
    <row r="219" spans="1:5" s="80" customFormat="1" ht="14.25" customHeight="1" x14ac:dyDescent="0.25">
      <c r="A219" s="116"/>
      <c r="B219" s="133" t="s">
        <v>63</v>
      </c>
      <c r="C219" s="134"/>
      <c r="D219" s="134"/>
      <c r="E219" s="99"/>
    </row>
    <row r="220" spans="1:5" s="78" customFormat="1" ht="15.75" x14ac:dyDescent="0.25">
      <c r="A220" s="7" t="s">
        <v>5</v>
      </c>
      <c r="B220" s="15" t="s">
        <v>64</v>
      </c>
      <c r="C220" s="9">
        <f>1157600/1000</f>
        <v>1157.5999999999999</v>
      </c>
      <c r="D220" s="9">
        <f>785600/1000</f>
        <v>785.6</v>
      </c>
      <c r="E220" s="103"/>
    </row>
    <row r="221" spans="1:5" s="78" customFormat="1" ht="15.75" x14ac:dyDescent="0.25">
      <c r="A221" s="7" t="s">
        <v>18</v>
      </c>
      <c r="B221" s="104" t="s">
        <v>94</v>
      </c>
      <c r="C221" s="9">
        <f>SUM(C222:C223)</f>
        <v>1813.3</v>
      </c>
      <c r="D221" s="9">
        <f>SUM(D222:D223)</f>
        <v>1810.5356400000001</v>
      </c>
      <c r="E221" s="103"/>
    </row>
    <row r="222" spans="1:5" s="78" customFormat="1" ht="15.75" x14ac:dyDescent="0.25">
      <c r="A222" s="7"/>
      <c r="B222" s="111" t="s">
        <v>19</v>
      </c>
      <c r="C222" s="74">
        <f>1800000/1000</f>
        <v>1800</v>
      </c>
      <c r="D222" s="74">
        <f>1799200/1000</f>
        <v>1799.2</v>
      </c>
      <c r="E222" s="103"/>
    </row>
    <row r="223" spans="1:5" s="78" customFormat="1" ht="15.75" x14ac:dyDescent="0.25">
      <c r="A223" s="7"/>
      <c r="B223" s="111" t="s">
        <v>20</v>
      </c>
      <c r="C223" s="74">
        <f>13300/1000</f>
        <v>13.3</v>
      </c>
      <c r="D223" s="74">
        <f>11335.64/1000</f>
        <v>11.33564</v>
      </c>
      <c r="E223" s="103"/>
    </row>
    <row r="224" spans="1:5" s="78" customFormat="1" ht="25.5" x14ac:dyDescent="0.25">
      <c r="A224" s="7" t="s">
        <v>6</v>
      </c>
      <c r="B224" s="117" t="s">
        <v>55</v>
      </c>
      <c r="C224" s="160">
        <f>700000/1000</f>
        <v>700</v>
      </c>
      <c r="D224" s="160">
        <f>618085.38/1000</f>
        <v>618.08537999999999</v>
      </c>
      <c r="E224" s="103"/>
    </row>
    <row r="225" spans="1:5" s="78" customFormat="1" ht="15.75" x14ac:dyDescent="0.25">
      <c r="A225" s="7" t="s">
        <v>13</v>
      </c>
      <c r="B225" s="117" t="s">
        <v>124</v>
      </c>
      <c r="C225" s="9">
        <f>408000/1000</f>
        <v>408</v>
      </c>
      <c r="D225" s="9">
        <f>407111.75/1000</f>
        <v>407.11174999999997</v>
      </c>
      <c r="E225" s="103"/>
    </row>
    <row r="226" spans="1:5" s="78" customFormat="1" ht="15.75" x14ac:dyDescent="0.25">
      <c r="A226" s="7" t="s">
        <v>7</v>
      </c>
      <c r="B226" s="117" t="s">
        <v>123</v>
      </c>
      <c r="C226" s="9">
        <f>SUM(C227:C228)</f>
        <v>300.39999999999998</v>
      </c>
      <c r="D226" s="9">
        <f>SUM(D227:D228)</f>
        <v>300.30029999999999</v>
      </c>
      <c r="E226" s="103"/>
    </row>
    <row r="227" spans="1:5" s="78" customFormat="1" ht="16.5" customHeight="1" x14ac:dyDescent="0.25">
      <c r="A227" s="7"/>
      <c r="B227" s="111" t="s">
        <v>19</v>
      </c>
      <c r="C227" s="74">
        <f>300000/1000</f>
        <v>300</v>
      </c>
      <c r="D227" s="74">
        <f>300000/1000</f>
        <v>300</v>
      </c>
      <c r="E227" s="103"/>
    </row>
    <row r="228" spans="1:5" s="78" customFormat="1" ht="16.5" customHeight="1" x14ac:dyDescent="0.25">
      <c r="A228" s="7"/>
      <c r="B228" s="111" t="s">
        <v>20</v>
      </c>
      <c r="C228" s="74">
        <f>400/1000</f>
        <v>0.4</v>
      </c>
      <c r="D228" s="74">
        <f>300.3/1000</f>
        <v>0.30030000000000001</v>
      </c>
      <c r="E228" s="103"/>
    </row>
    <row r="229" spans="1:5" s="78" customFormat="1" ht="16.5" hidden="1" customHeight="1" x14ac:dyDescent="0.25">
      <c r="A229" s="7" t="s">
        <v>7</v>
      </c>
      <c r="B229" s="111"/>
      <c r="C229" s="9"/>
      <c r="D229" s="9"/>
      <c r="E229" s="103"/>
    </row>
    <row r="230" spans="1:5" s="78" customFormat="1" ht="16.5" hidden="1" customHeight="1" x14ac:dyDescent="0.25">
      <c r="A230" s="7"/>
      <c r="B230" s="111"/>
      <c r="C230" s="9"/>
      <c r="D230" s="9"/>
      <c r="E230" s="103"/>
    </row>
    <row r="231" spans="1:5" s="78" customFormat="1" ht="16.5" hidden="1" customHeight="1" x14ac:dyDescent="0.25">
      <c r="A231" s="7"/>
      <c r="B231" s="111"/>
      <c r="C231" s="9"/>
      <c r="D231" s="9"/>
      <c r="E231" s="103"/>
    </row>
    <row r="232" spans="1:5" s="78" customFormat="1" ht="16.5" hidden="1" customHeight="1" x14ac:dyDescent="0.25">
      <c r="A232" s="7"/>
      <c r="B232" s="111"/>
      <c r="C232" s="9"/>
      <c r="D232" s="9"/>
      <c r="E232" s="103"/>
    </row>
    <row r="233" spans="1:5" s="78" customFormat="1" ht="18" hidden="1" customHeight="1" x14ac:dyDescent="0.25">
      <c r="A233" s="7"/>
      <c r="B233" s="111"/>
      <c r="C233" s="9"/>
      <c r="D233" s="9"/>
      <c r="E233" s="103"/>
    </row>
    <row r="234" spans="1:5" s="67" customFormat="1" ht="15.75" x14ac:dyDescent="0.25">
      <c r="A234" s="28"/>
      <c r="B234" s="29" t="s">
        <v>21</v>
      </c>
      <c r="C234" s="30">
        <f>SUM(C220,C221,C224,C225,C226)</f>
        <v>4379.2999999999993</v>
      </c>
      <c r="D234" s="30">
        <f>SUM(D220,D221,D224,D225,D226)</f>
        <v>3921.6330699999999</v>
      </c>
      <c r="E234" s="99"/>
    </row>
    <row r="235" spans="1:5" s="67" customFormat="1" ht="15" customHeight="1" x14ac:dyDescent="0.25">
      <c r="A235" s="114"/>
      <c r="B235" s="126" t="s">
        <v>58</v>
      </c>
      <c r="C235" s="127"/>
      <c r="D235" s="127"/>
      <c r="E235" s="99"/>
    </row>
    <row r="236" spans="1:5" s="76" customFormat="1" ht="25.5" customHeight="1" x14ac:dyDescent="0.25">
      <c r="A236" s="7"/>
      <c r="B236" s="118" t="s">
        <v>65</v>
      </c>
      <c r="C236" s="9">
        <f>22425300/1000</f>
        <v>22425.3</v>
      </c>
      <c r="D236" s="9">
        <f>14689100/1000</f>
        <v>14689.1</v>
      </c>
      <c r="E236" s="102"/>
    </row>
    <row r="237" spans="1:5" ht="15.75" x14ac:dyDescent="0.25">
      <c r="A237" s="28"/>
      <c r="B237" s="29" t="s">
        <v>21</v>
      </c>
      <c r="C237" s="30">
        <f>SUM(C236:C236)</f>
        <v>22425.3</v>
      </c>
      <c r="D237" s="30">
        <f>SUM(D236:D236)</f>
        <v>14689.1</v>
      </c>
      <c r="E237" s="94"/>
    </row>
    <row r="238" spans="1:5" s="50" customFormat="1" ht="15.75" x14ac:dyDescent="0.25">
      <c r="A238" s="28"/>
      <c r="B238" s="29" t="s">
        <v>15</v>
      </c>
      <c r="C238" s="30">
        <f>SUM(C234,C237)</f>
        <v>26804.6</v>
      </c>
      <c r="D238" s="30">
        <f>SUM(D234,D237)</f>
        <v>18610.733070000002</v>
      </c>
      <c r="E238" s="119"/>
    </row>
    <row r="239" spans="1:5" x14ac:dyDescent="0.25">
      <c r="A239" s="136"/>
      <c r="B239" s="136"/>
    </row>
    <row r="240" spans="1:5" x14ac:dyDescent="0.25">
      <c r="A240" s="42"/>
      <c r="B240" s="43" t="s">
        <v>67</v>
      </c>
      <c r="C240" s="44">
        <f>SUM(C15,C24,C45,C61,C86,C99,C114,C133,C215,C238)</f>
        <v>1500575.7000000002</v>
      </c>
      <c r="D240" s="44">
        <f>SUM(D15,D24,D45,D61,D86,D99,D114,D133,D215,D238)</f>
        <v>1083417.47218</v>
      </c>
      <c r="E240" s="38"/>
    </row>
    <row r="241" spans="1:5" ht="30" customHeight="1" x14ac:dyDescent="0.25">
      <c r="A241" s="41"/>
      <c r="B241" s="41"/>
      <c r="E241" s="55"/>
    </row>
    <row r="242" spans="1:5" ht="15" customHeight="1" x14ac:dyDescent="0.25">
      <c r="A242" s="39"/>
      <c r="B242" s="135" t="s">
        <v>148</v>
      </c>
      <c r="C242" s="135"/>
    </row>
    <row r="243" spans="1:5" ht="10.5" customHeight="1" x14ac:dyDescent="0.25">
      <c r="B243" s="40" t="s">
        <v>66</v>
      </c>
    </row>
    <row r="244" spans="1:5" x14ac:dyDescent="0.25">
      <c r="B244" s="91" t="s">
        <v>149</v>
      </c>
    </row>
    <row r="245" spans="1:5" x14ac:dyDescent="0.25">
      <c r="C245" s="65"/>
    </row>
    <row r="246" spans="1:5" x14ac:dyDescent="0.25">
      <c r="C246" s="65"/>
    </row>
    <row r="247" spans="1:5" x14ac:dyDescent="0.25">
      <c r="C247" s="65"/>
      <c r="D247" s="65"/>
    </row>
    <row r="248" spans="1:5" x14ac:dyDescent="0.25">
      <c r="C248" s="66"/>
      <c r="D248" s="66"/>
    </row>
    <row r="249" spans="1:5" x14ac:dyDescent="0.25">
      <c r="C249" s="65"/>
    </row>
  </sheetData>
  <mergeCells count="52">
    <mergeCell ref="A88:D88"/>
    <mergeCell ref="B90:D90"/>
    <mergeCell ref="B95:D95"/>
    <mergeCell ref="A47:D47"/>
    <mergeCell ref="A28:D28"/>
    <mergeCell ref="B35:D35"/>
    <mergeCell ref="B41:D41"/>
    <mergeCell ref="A63:D63"/>
    <mergeCell ref="B49:D49"/>
    <mergeCell ref="B52:D52"/>
    <mergeCell ref="B55:D55"/>
    <mergeCell ref="A1:D1"/>
    <mergeCell ref="A2:D2"/>
    <mergeCell ref="A26:D26"/>
    <mergeCell ref="A9:A11"/>
    <mergeCell ref="B9:B11"/>
    <mergeCell ref="A4:D4"/>
    <mergeCell ref="A5:D5"/>
    <mergeCell ref="A7:D7"/>
    <mergeCell ref="C9:C11"/>
    <mergeCell ref="D9:D11"/>
    <mergeCell ref="A17:D17"/>
    <mergeCell ref="A19:A21"/>
    <mergeCell ref="B19:B21"/>
    <mergeCell ref="C19:C21"/>
    <mergeCell ref="D19:D21"/>
    <mergeCell ref="B242:C242"/>
    <mergeCell ref="A239:B239"/>
    <mergeCell ref="B144:D144"/>
    <mergeCell ref="A102:D102"/>
    <mergeCell ref="A103:D103"/>
    <mergeCell ref="B123:D123"/>
    <mergeCell ref="B128:D128"/>
    <mergeCell ref="A135:D135"/>
    <mergeCell ref="A136:D136"/>
    <mergeCell ref="A138:D138"/>
    <mergeCell ref="B118:D118"/>
    <mergeCell ref="A105:D105"/>
    <mergeCell ref="D107:D110"/>
    <mergeCell ref="B112:D112"/>
    <mergeCell ref="A116:D116"/>
    <mergeCell ref="A107:A110"/>
    <mergeCell ref="B107:B110"/>
    <mergeCell ref="C107:C110"/>
    <mergeCell ref="B235:D235"/>
    <mergeCell ref="A140:A142"/>
    <mergeCell ref="B140:B142"/>
    <mergeCell ref="C140:C142"/>
    <mergeCell ref="D140:D142"/>
    <mergeCell ref="B206:D206"/>
    <mergeCell ref="A217:D217"/>
    <mergeCell ref="B219:D219"/>
  </mergeCells>
  <pageMargins left="0.70866141732283472" right="0.3" top="0.69" bottom="0.63" header="0.31496062992125984" footer="0.31496062992125984"/>
  <pageSetup paperSize="9" scale="8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2020-10-15T06:45:42Z</dcterms:modified>
</cp:coreProperties>
</file>