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-15" windowWidth="28830" windowHeight="6375" activeTab="2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СЭР 2019-2021" sheetId="21" r:id="rId4"/>
    <sheet name="№ 1 производ. продукции" sheetId="22" r:id="rId5"/>
    <sheet name="№ 2 Хлеб" sheetId="23" r:id="rId6"/>
    <sheet name="№ 3 Олени" sheetId="24" r:id="rId7"/>
    <sheet name="№ 4 строительство" sheetId="25" r:id="rId8"/>
  </sheets>
  <definedNames>
    <definedName name="_xlnm._FilterDatabase" localSheetId="2" hidden="1">'РАСХОДЫ ПРОГРАММЫ'!$A$3:$C$27</definedName>
    <definedName name="_xlnm.Print_Titles" localSheetId="2">'РАСХОДЫ ПРОГРАММЫ'!#REF!</definedName>
    <definedName name="_xlnm.Print_Area" localSheetId="4">'№ 1 производ. продукции'!$A$1:$H$22</definedName>
    <definedName name="_xlnm.Print_Area" localSheetId="1">'ДОХОДЫ РАСХОДЫ ИСТОЧНИКИ'!$C$1:$F$122</definedName>
    <definedName name="_xlnm.Print_Area" localSheetId="3">'Прогноз СЭР 2019-2021'!$A$1:$P$107</definedName>
  </definedNames>
  <calcPr calcId="125725"/>
</workbook>
</file>

<file path=xl/calcChain.xml><?xml version="1.0" encoding="utf-8"?>
<calcChain xmlns="http://schemas.openxmlformats.org/spreadsheetml/2006/main">
  <c r="F18" i="4"/>
  <c r="D19"/>
  <c r="E19"/>
  <c r="F19"/>
  <c r="D27"/>
  <c r="E27"/>
  <c r="F27"/>
  <c r="E12" l="1"/>
  <c r="E5" l="1"/>
  <c r="E4" l="1"/>
  <c r="F50" l="1"/>
  <c r="E21"/>
  <c r="E50"/>
  <c r="C5" i="6" l="1"/>
  <c r="C7"/>
  <c r="C10"/>
  <c r="C12"/>
  <c r="C15"/>
  <c r="C18"/>
  <c r="C27"/>
  <c r="C30"/>
  <c r="C33"/>
  <c r="C32" s="1"/>
  <c r="C47"/>
  <c r="C45"/>
  <c r="C43"/>
  <c r="C40"/>
  <c r="D40"/>
  <c r="C23"/>
  <c r="D23"/>
  <c r="C37"/>
  <c r="D37"/>
  <c r="C4" l="1"/>
  <c r="D7"/>
  <c r="D47"/>
  <c r="D45"/>
  <c r="D43"/>
  <c r="D33"/>
  <c r="D30"/>
  <c r="D27"/>
  <c r="D18"/>
  <c r="D15"/>
  <c r="D12"/>
  <c r="D10"/>
  <c r="D32" l="1"/>
  <c r="D5"/>
  <c r="D118" i="4"/>
  <c r="D4" i="6" l="1"/>
  <c r="D106" i="4"/>
  <c r="E106"/>
  <c r="D101"/>
  <c r="D68"/>
  <c r="D77"/>
  <c r="D82"/>
  <c r="D86"/>
  <c r="D99"/>
  <c r="F21"/>
  <c r="D21"/>
  <c r="K13" i="24" l="1"/>
  <c r="J13"/>
  <c r="I13"/>
  <c r="H13"/>
  <c r="G13"/>
  <c r="F13"/>
  <c r="E13"/>
  <c r="D13"/>
  <c r="C13"/>
  <c r="B13"/>
  <c r="E13" i="23"/>
  <c r="D13"/>
  <c r="C13"/>
  <c r="H14" i="22"/>
  <c r="G14"/>
  <c r="F14"/>
  <c r="E14"/>
  <c r="D14"/>
  <c r="H10"/>
  <c r="G10"/>
  <c r="F10"/>
  <c r="E10"/>
  <c r="D10"/>
  <c r="J123" i="21"/>
  <c r="J122"/>
  <c r="V107"/>
  <c r="C107"/>
  <c r="Y105"/>
  <c r="X105"/>
  <c r="U105"/>
  <c r="T105"/>
  <c r="E105"/>
  <c r="C105"/>
  <c r="AA104"/>
  <c r="AA105" s="1"/>
  <c r="Z104"/>
  <c r="Z105" s="1"/>
  <c r="Y104"/>
  <c r="X104"/>
  <c r="W104"/>
  <c r="W105" s="1"/>
  <c r="W107" s="1"/>
  <c r="V104"/>
  <c r="V105" s="1"/>
  <c r="U104"/>
  <c r="T104"/>
  <c r="I104"/>
  <c r="H104"/>
  <c r="D104"/>
  <c r="C104"/>
  <c r="H103"/>
  <c r="G103"/>
  <c r="F103"/>
  <c r="E103"/>
  <c r="C103"/>
  <c r="H102"/>
  <c r="G102"/>
  <c r="F102"/>
  <c r="E102"/>
  <c r="C102"/>
  <c r="I101"/>
  <c r="H101"/>
  <c r="G101"/>
  <c r="F101"/>
  <c r="E101"/>
  <c r="P98"/>
  <c r="O98"/>
  <c r="N98"/>
  <c r="M98"/>
  <c r="L98"/>
  <c r="K98"/>
  <c r="J98"/>
  <c r="I98"/>
  <c r="H98"/>
  <c r="G98"/>
  <c r="F98"/>
  <c r="E98"/>
  <c r="D98"/>
  <c r="P95"/>
  <c r="O95"/>
  <c r="N95"/>
  <c r="M95"/>
  <c r="L95"/>
  <c r="K95"/>
  <c r="J95"/>
  <c r="I95"/>
  <c r="H95"/>
  <c r="G95"/>
  <c r="F95"/>
  <c r="P94"/>
  <c r="O94"/>
  <c r="N94"/>
  <c r="M94"/>
  <c r="L94"/>
  <c r="K94"/>
  <c r="J94"/>
  <c r="I94"/>
  <c r="H94"/>
  <c r="G94"/>
  <c r="F94"/>
  <c r="P93"/>
  <c r="O93"/>
  <c r="N93"/>
  <c r="M93"/>
  <c r="L93"/>
  <c r="K93"/>
  <c r="J93"/>
  <c r="I93"/>
  <c r="H93"/>
  <c r="G93"/>
  <c r="F93"/>
  <c r="E93"/>
  <c r="P92"/>
  <c r="O92"/>
  <c r="N92"/>
  <c r="M92"/>
  <c r="L92"/>
  <c r="K92"/>
  <c r="J92"/>
  <c r="I92"/>
  <c r="H92"/>
  <c r="G92"/>
  <c r="F92"/>
  <c r="E92"/>
  <c r="P91"/>
  <c r="O91"/>
  <c r="N91"/>
  <c r="M91"/>
  <c r="L91"/>
  <c r="K91"/>
  <c r="J91"/>
  <c r="I91"/>
  <c r="H91"/>
  <c r="G91"/>
  <c r="F91"/>
  <c r="E91"/>
  <c r="P90"/>
  <c r="O90"/>
  <c r="N90"/>
  <c r="M90"/>
  <c r="L90"/>
  <c r="K90"/>
  <c r="J90"/>
  <c r="I90"/>
  <c r="H90"/>
  <c r="G90"/>
  <c r="F90"/>
  <c r="E90"/>
  <c r="P89"/>
  <c r="O89"/>
  <c r="N89"/>
  <c r="M89"/>
  <c r="L89"/>
  <c r="K89"/>
  <c r="J89"/>
  <c r="I89"/>
  <c r="H89"/>
  <c r="G89"/>
  <c r="F89"/>
  <c r="N86"/>
  <c r="M86"/>
  <c r="L86"/>
  <c r="K86"/>
  <c r="J86"/>
  <c r="I86"/>
  <c r="H86"/>
  <c r="G86"/>
  <c r="E86"/>
  <c r="H84"/>
  <c r="G84"/>
  <c r="P83"/>
  <c r="O83"/>
  <c r="N83"/>
  <c r="M83"/>
  <c r="L83"/>
  <c r="K83"/>
  <c r="J83"/>
  <c r="I83"/>
  <c r="H83"/>
  <c r="G83"/>
  <c r="F83"/>
  <c r="E83"/>
  <c r="F78"/>
  <c r="L77"/>
  <c r="L76" s="1"/>
  <c r="L73" s="1"/>
  <c r="R72" s="1"/>
  <c r="E77"/>
  <c r="P76"/>
  <c r="P73" s="1"/>
  <c r="O76"/>
  <c r="N76"/>
  <c r="N73" s="1"/>
  <c r="M76"/>
  <c r="K76"/>
  <c r="J76"/>
  <c r="I76"/>
  <c r="H76"/>
  <c r="G76"/>
  <c r="F76"/>
  <c r="E76"/>
  <c r="C76"/>
  <c r="S75"/>
  <c r="T75" s="1"/>
  <c r="R75"/>
  <c r="Q75"/>
  <c r="K75"/>
  <c r="J75"/>
  <c r="J73" s="1"/>
  <c r="I75"/>
  <c r="H75"/>
  <c r="H73" s="1"/>
  <c r="G75"/>
  <c r="F75"/>
  <c r="F73" s="1"/>
  <c r="E75"/>
  <c r="D75"/>
  <c r="D73" s="1"/>
  <c r="C75"/>
  <c r="O73"/>
  <c r="M73"/>
  <c r="R73" s="1"/>
  <c r="K73"/>
  <c r="I73"/>
  <c r="G73"/>
  <c r="E73"/>
  <c r="C73"/>
  <c r="T72"/>
  <c r="C71"/>
  <c r="G70"/>
  <c r="F70"/>
  <c r="C70"/>
  <c r="F68"/>
  <c r="E68"/>
  <c r="C68"/>
  <c r="K65"/>
  <c r="J65"/>
  <c r="I65"/>
  <c r="H65"/>
  <c r="G65"/>
  <c r="F65"/>
  <c r="E65"/>
  <c r="D65"/>
  <c r="C65"/>
  <c r="G64"/>
  <c r="F64"/>
  <c r="F62" s="1"/>
  <c r="C64"/>
  <c r="G63"/>
  <c r="F63"/>
  <c r="E63"/>
  <c r="C63"/>
  <c r="K62"/>
  <c r="J62"/>
  <c r="I62"/>
  <c r="H62"/>
  <c r="G62"/>
  <c r="E62"/>
  <c r="D62"/>
  <c r="C62"/>
  <c r="M60"/>
  <c r="I60"/>
  <c r="L58"/>
  <c r="K46"/>
  <c r="J46"/>
  <c r="I46"/>
  <c r="H46"/>
  <c r="G46"/>
  <c r="F46"/>
  <c r="E46"/>
  <c r="O39"/>
  <c r="K39"/>
  <c r="J39"/>
  <c r="I39"/>
  <c r="H39"/>
  <c r="G39"/>
  <c r="E39"/>
  <c r="P38"/>
  <c r="P39" s="1"/>
  <c r="O38"/>
  <c r="N38"/>
  <c r="N39" s="1"/>
  <c r="M38"/>
  <c r="L38"/>
  <c r="M39" s="1"/>
  <c r="G38"/>
  <c r="F38"/>
  <c r="F39" s="1"/>
  <c r="E38"/>
  <c r="C38"/>
  <c r="D39" s="1"/>
  <c r="P33"/>
  <c r="O33"/>
  <c r="N33"/>
  <c r="L33"/>
  <c r="K33"/>
  <c r="J33"/>
  <c r="I33"/>
  <c r="G33"/>
  <c r="P32"/>
  <c r="O32"/>
  <c r="N32"/>
  <c r="M32"/>
  <c r="L32"/>
  <c r="K32"/>
  <c r="J32"/>
  <c r="I32"/>
  <c r="H32"/>
  <c r="G32"/>
  <c r="F32"/>
  <c r="D31"/>
  <c r="C31"/>
  <c r="N30"/>
  <c r="M30"/>
  <c r="L30"/>
  <c r="K30"/>
  <c r="J30"/>
  <c r="I30"/>
  <c r="H30"/>
  <c r="F30"/>
  <c r="P29"/>
  <c r="O29"/>
  <c r="P30" s="1"/>
  <c r="G29"/>
  <c r="F29"/>
  <c r="F26" s="1"/>
  <c r="F27" s="1"/>
  <c r="E29"/>
  <c r="E30" s="1"/>
  <c r="D29"/>
  <c r="D30" s="1"/>
  <c r="C29"/>
  <c r="N27"/>
  <c r="J27"/>
  <c r="P26"/>
  <c r="O26"/>
  <c r="P27" s="1"/>
  <c r="N26"/>
  <c r="M26"/>
  <c r="M27" s="1"/>
  <c r="L26"/>
  <c r="K26"/>
  <c r="L27" s="1"/>
  <c r="J26"/>
  <c r="I26"/>
  <c r="I27" s="1"/>
  <c r="H26"/>
  <c r="G26"/>
  <c r="H27" s="1"/>
  <c r="E26"/>
  <c r="C26"/>
  <c r="H24"/>
  <c r="G24"/>
  <c r="F24"/>
  <c r="C24"/>
  <c r="H23"/>
  <c r="G23"/>
  <c r="F23"/>
  <c r="C23"/>
  <c r="H22"/>
  <c r="G22"/>
  <c r="F22"/>
  <c r="C22"/>
  <c r="H20"/>
  <c r="G20"/>
  <c r="F20"/>
  <c r="P18"/>
  <c r="J18"/>
  <c r="H18"/>
  <c r="D18"/>
  <c r="N17"/>
  <c r="O18" s="1"/>
  <c r="M17"/>
  <c r="N18" s="1"/>
  <c r="L17"/>
  <c r="K17"/>
  <c r="K18" s="1"/>
  <c r="H17"/>
  <c r="G17"/>
  <c r="G18" s="1"/>
  <c r="F17"/>
  <c r="E17"/>
  <c r="F18" s="1"/>
  <c r="C17"/>
  <c r="N14"/>
  <c r="J14"/>
  <c r="F14"/>
  <c r="D14"/>
  <c r="P13"/>
  <c r="O13"/>
  <c r="P14" s="1"/>
  <c r="N13"/>
  <c r="M13"/>
  <c r="M14" s="1"/>
  <c r="L13"/>
  <c r="K13"/>
  <c r="L14" s="1"/>
  <c r="J13"/>
  <c r="I13"/>
  <c r="I14" s="1"/>
  <c r="H13"/>
  <c r="G13"/>
  <c r="H14" s="1"/>
  <c r="F13"/>
  <c r="E13"/>
  <c r="E14" s="1"/>
  <c r="C13"/>
  <c r="P10"/>
  <c r="O10"/>
  <c r="N10"/>
  <c r="M10"/>
  <c r="L10"/>
  <c r="K10"/>
  <c r="I10"/>
  <c r="H10"/>
  <c r="G10"/>
  <c r="F10"/>
  <c r="E10"/>
  <c r="D10"/>
  <c r="P9"/>
  <c r="O9"/>
  <c r="N9"/>
  <c r="M9"/>
  <c r="L9"/>
  <c r="I9"/>
  <c r="H9"/>
  <c r="G9"/>
  <c r="F9"/>
  <c r="E9"/>
  <c r="D9"/>
  <c r="C9"/>
  <c r="J8"/>
  <c r="J10" s="1"/>
  <c r="C8"/>
  <c r="C10" s="1"/>
  <c r="R7"/>
  <c r="P7"/>
  <c r="O7"/>
  <c r="N7"/>
  <c r="M7"/>
  <c r="L7"/>
  <c r="K7"/>
  <c r="J7"/>
  <c r="I7"/>
  <c r="H7"/>
  <c r="G7"/>
  <c r="F7"/>
  <c r="E7"/>
  <c r="D7"/>
  <c r="C7"/>
  <c r="R6"/>
  <c r="L18" l="1"/>
  <c r="K9"/>
  <c r="G14"/>
  <c r="K14"/>
  <c r="O14"/>
  <c r="E18"/>
  <c r="I18"/>
  <c r="M18"/>
  <c r="D26"/>
  <c r="D27" s="1"/>
  <c r="G27"/>
  <c r="K27"/>
  <c r="O27"/>
  <c r="G30"/>
  <c r="O30"/>
  <c r="L39"/>
  <c r="J9"/>
  <c r="E27" l="1"/>
  <c r="E115" i="4" l="1"/>
  <c r="F68" l="1"/>
  <c r="F99"/>
  <c r="E99"/>
  <c r="F12" l="1"/>
  <c r="D12"/>
  <c r="E45"/>
  <c r="E18" s="1"/>
  <c r="F45"/>
  <c r="D50"/>
  <c r="D45" s="1"/>
  <c r="D18" s="1"/>
  <c r="F115"/>
  <c r="D115"/>
  <c r="F106"/>
  <c r="F101"/>
  <c r="E101"/>
  <c r="F97"/>
  <c r="E97"/>
  <c r="F91"/>
  <c r="E91"/>
  <c r="F86"/>
  <c r="E86"/>
  <c r="F82"/>
  <c r="E82"/>
  <c r="F77"/>
  <c r="E77"/>
  <c r="E68"/>
  <c r="F5"/>
  <c r="D5"/>
  <c r="C49" i="6"/>
  <c r="E118" i="4"/>
  <c r="F118"/>
  <c r="F4" l="1"/>
  <c r="F63" s="1"/>
  <c r="D109"/>
  <c r="F109"/>
  <c r="D4"/>
  <c r="E109"/>
  <c r="E114"/>
  <c r="D114"/>
  <c r="F114"/>
  <c r="E63" l="1"/>
  <c r="D63"/>
</calcChain>
</file>

<file path=xl/sharedStrings.xml><?xml version="1.0" encoding="utf-8"?>
<sst xmlns="http://schemas.openxmlformats.org/spreadsheetml/2006/main" count="772" uniqueCount="554">
  <si>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</si>
  <si>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</si>
  <si>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</si>
  <si>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</si>
  <si>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</si>
  <si>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</si>
  <si>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</si>
  <si>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</si>
  <si>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</si>
  <si>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</si>
  <si>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</si>
  <si>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</si>
  <si>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</si>
  <si>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</si>
  <si>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</si>
  <si>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</si>
  <si>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</si>
  <si>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</si>
  <si>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</si>
  <si>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</si>
  <si>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</si>
  <si>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</si>
  <si>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</si>
  <si>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</si>
  <si>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</si>
  <si>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</si>
  <si>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</si>
  <si>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</si>
  <si>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</si>
  <si>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</si>
  <si>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</si>
  <si>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</si>
  <si>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</si>
  <si>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</si>
  <si>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</si>
  <si>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</si>
  <si>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</si>
  <si>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</si>
  <si>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</si>
  <si>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</si>
  <si>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</si>
  <si>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</si>
  <si>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</si>
  <si>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</si>
  <si>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</si>
  <si>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</si>
  <si>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</si>
  <si>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</si>
  <si>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</si>
  <si>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</si>
  <si>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</si>
  <si>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</si>
  <si>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</si>
  <si>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</si>
  <si>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</si>
  <si>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</si>
  <si>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</si>
  <si>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</si>
  <si>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</si>
  <si>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</si>
  <si>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</si>
  <si>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</si>
  <si>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</si>
  <si>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</si>
  <si>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</si>
  <si>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</si>
  <si>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</si>
  <si>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</si>
  <si>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</si>
  <si>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</si>
  <si>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</si>
  <si>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</si>
  <si>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</si>
  <si>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</si>
  <si>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</si>
  <si>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</si>
  <si>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</si>
  <si>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</si>
  <si>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</si>
  <si>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</si>
  <si>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</si>
  <si>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</si>
  <si>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</si>
  <si>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</si>
  <si>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</si>
  <si>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</si>
  <si>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</si>
  <si>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</si>
  <si>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</si>
  <si>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</si>
  <si>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</si>
  <si>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</si>
  <si>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</si>
  <si>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</si>
  <si>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</si>
  <si>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</si>
  <si>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</si>
  <si>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</si>
  <si>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</si>
  <si>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</si>
  <si>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</si>
  <si>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</si>
  <si>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</si>
  <si>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</si>
  <si>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</si>
  <si>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</si>
  <si>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</si>
  <si>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</si>
  <si>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</si>
  <si>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</si>
  <si>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</si>
  <si>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</si>
  <si>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</si>
  <si>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</si>
  <si>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</si>
  <si>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</si>
  <si>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</si>
  <si>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</si>
  <si>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</si>
  <si>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</si>
  <si>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</si>
  <si>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</si>
  <si>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</si>
  <si>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</si>
  <si>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</si>
  <si>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</si>
  <si>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</si>
  <si>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</si>
  <si>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</si>
  <si>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</si>
  <si>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</si>
  <si>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</si>
  <si>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</si>
  <si>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</si>
  <si>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</si>
  <si>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</si>
  <si>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</si>
  <si>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</si>
  <si>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</si>
  <si>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</si>
  <si>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</si>
  <si>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</si>
  <si>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</si>
  <si>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</si>
  <si>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</si>
  <si>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</si>
  <si>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</si>
  <si>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</si>
  <si>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</si>
  <si>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</si>
  <si>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</si>
  <si>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</si>
  <si>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</si>
  <si>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</si>
  <si>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</si>
  <si>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</si>
  <si>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</si>
  <si>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</si>
  <si>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</si>
  <si>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</si>
  <si>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</si>
  <si>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</si>
  <si>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</si>
  <si>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</si>
  <si>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</si>
  <si>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</si>
  <si>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</si>
  <si>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</si>
  <si>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</si>
  <si>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</si>
  <si>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</si>
  <si>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</si>
  <si>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</si>
  <si>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</si>
  <si>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</si>
  <si>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</si>
  <si>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</si>
  <si>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</si>
  <si>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</si>
  <si>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</si>
  <si>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</si>
  <si>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</si>
  <si>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</si>
  <si>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</si>
  <si>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</si>
  <si>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</si>
  <si>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</si>
  <si>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</si>
  <si>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</si>
  <si>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</si>
  <si>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</si>
  <si>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</si>
  <si>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</si>
  <si>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</si>
  <si>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</si>
  <si>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</si>
  <si>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</si>
  <si>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</si>
  <si>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</si>
  <si>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</si>
  <si>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</si>
  <si>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</si>
  <si>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</si>
  <si>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</si>
  <si>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</si>
  <si>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</si>
  <si>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</si>
  <si>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</si>
  <si>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</si>
  <si>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с 9.00 до 18.15 (с 13.00 до 14.00 обеденный перерыв)</t>
  </si>
  <si>
    <t>с 9.00 до 17.00 (с 13.00 до 14.00 обеденный перерыв)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</si>
  <si>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</si>
  <si>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</si>
  <si>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>e-mail: fin@egvekinot.org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</si>
  <si>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</si>
  <si>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</si>
  <si>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</si>
  <si>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</si>
  <si>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</si>
  <si>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</si>
  <si>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</si>
  <si>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</si>
  <si>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</si>
  <si>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</si>
  <si>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</si>
  <si>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</si>
  <si>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</si>
  <si>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</si>
  <si>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</si>
  <si>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</si>
  <si>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2018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</si>
  <si>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</si>
  <si>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</si>
  <si>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</si>
  <si>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</si>
  <si>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</si>
  <si>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</si>
  <si>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</si>
  <si>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</si>
  <si>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</si>
  <si>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</si>
  <si>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</si>
  <si>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</si>
  <si>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</si>
  <si>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</si>
  <si>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</si>
  <si>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</si>
  <si>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</si>
  <si>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</si>
  <si>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</si>
  <si>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</si>
  <si>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</si>
  <si>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</si>
  <si>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</si>
  <si>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</si>
  <si>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</si>
  <si>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Обрабатывающие производства</t>
  </si>
  <si>
    <t>Строительство</t>
  </si>
  <si>
    <t>Оптовая и розничная торговля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</si>
  <si>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</si>
  <si>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</si>
  <si>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</si>
  <si>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</si>
  <si>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</si>
  <si>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</si>
  <si>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</si>
  <si>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</si>
  <si>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</si>
  <si>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</si>
  <si>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</si>
  <si>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</si>
  <si>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</si>
  <si>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</si>
  <si>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</si>
  <si>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</si>
  <si>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</si>
  <si>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</si>
  <si>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</si>
  <si>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</si>
  <si>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</si>
  <si>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</si>
  <si>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</si>
  <si>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</si>
  <si>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</si>
  <si>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</si>
  <si>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</si>
  <si>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</si>
  <si>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</si>
  <si>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</si>
  <si>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</si>
  <si>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300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</si>
  <si>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</si>
  <si>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</si>
  <si>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</si>
  <si>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</si>
  <si>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</si>
  <si>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</si>
  <si>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</si>
  <si>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</si>
  <si>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</si>
  <si>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</si>
  <si>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</si>
  <si>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</si>
  <si>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</si>
  <si>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</si>
  <si>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</si>
  <si>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</si>
  <si>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</si>
  <si>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</si>
  <si>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</si>
  <si>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</si>
  <si>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</si>
  <si>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</si>
  <si>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</si>
  <si>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</si>
  <si>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</si>
  <si>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</si>
  <si>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</si>
  <si>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</si>
  <si>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</si>
  <si>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</si>
  <si>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</si>
  <si>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</si>
  <si>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</si>
  <si>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</si>
  <si>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</si>
  <si>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</si>
  <si>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</si>
  <si>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</si>
  <si>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</si>
  <si>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</si>
  <si>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</si>
  <si>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</si>
  <si>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</si>
  <si>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 xml:space="preserve"> МУП «Шмидтовское муниципальное торговое предприятие Иультинского муниципального района»</t>
  </si>
  <si>
    <t>тн.</t>
  </si>
  <si>
    <t>ООО «Иультинский пекарь»</t>
  </si>
  <si>
    <t>ООО «Хлебный дар»</t>
  </si>
  <si>
    <t>ИП Яковенко В.М.</t>
  </si>
  <si>
    <t>ГАПОУ ЧАО «Чукотский полярный техникум поселка Эгвекинот»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</si>
  <si>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</si>
  <si>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</si>
  <si>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</si>
  <si>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</si>
  <si>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</si>
  <si>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</si>
  <si>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</si>
  <si>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</si>
  <si>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</si>
  <si>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</si>
  <si>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</si>
  <si>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Населенный пункт района</t>
  </si>
  <si>
    <t>Наименование мероприятий, работ</t>
  </si>
  <si>
    <t>ГП Эгвекинот</t>
  </si>
  <si>
    <t>СП Амгуэма</t>
  </si>
  <si>
    <t>СП Конергино</t>
  </si>
  <si>
    <t>СП Рыркайпий</t>
  </si>
  <si>
    <t>СП Ванкарем</t>
  </si>
  <si>
    <t>СП Нутепельмен</t>
  </si>
  <si>
    <t>СП Уэлькаль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</si>
  <si>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</si>
  <si>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</si>
  <si>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</si>
  <si>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</si>
  <si>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</si>
  <si>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</si>
  <si>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</si>
  <si>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</si>
  <si>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>Строительство спортивного комплекса</t>
  </si>
  <si>
    <t xml:space="preserve">Капитальный ремонт кровель в МКД </t>
  </si>
  <si>
    <t>Реконструкция тепловых и водопроводных сетей</t>
  </si>
  <si>
    <t>Утепление фасадов жилых домов (43 шт.)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</si>
  <si>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</si>
  <si>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</si>
  <si>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</si>
  <si>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электросетей 6 кВ 11 км</t>
  </si>
  <si>
    <t>Реконструкция электросетей 0,4 кВ 9 км-14,2</t>
  </si>
  <si>
    <t>Строительство плавательного бассейна</t>
  </si>
  <si>
    <t>Строительство 10 одноквартирных двухкомнатных жилых домов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</si>
  <si>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</si>
  <si>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здания под социальное жильё</t>
  </si>
  <si>
    <t>Строительство ЦТП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</si>
  <si>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</si>
  <si>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</si>
  <si>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</si>
  <si>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</si>
  <si>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</si>
  <si>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котельной (Гкал-6,6)</t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</si>
  <si>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</si>
  <si>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</si>
  <si>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детской спортивной площадки</t>
  </si>
  <si>
    <t>Строительство административного здания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</si>
  <si>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</si>
  <si>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дома</t>
  </si>
  <si>
    <t>Строительство 42 одноквартирных жилых домов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</si>
  <si>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</si>
  <si>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</si>
  <si>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</si>
  <si>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r>
      <t>Установка емкости под холодную воду (1000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</si>
  <si>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тепловых сетей, холодного и горячего водоснабжения</t>
  </si>
  <si>
    <t>Строительство пождепо на 2 автомобиля</t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</si>
  <si>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</si>
  <si>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</si>
  <si>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</si>
  <si>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</si>
  <si>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</si>
  <si>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Капитальный ремонт административного здания</t>
  </si>
  <si>
    <t xml:space="preserve">Капитальный ремонт школы (учащиеся 20 чел.) 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</si>
  <si>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</si>
  <si>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ФАП (5-мест)</t>
  </si>
  <si>
    <t>Строительство здания МУК «Центра досуга и народного творчества с Нутепельмен»</t>
  </si>
  <si>
    <t>Строительство пристройки к школе</t>
  </si>
  <si>
    <t>Строительство 10 одноквартирных домов</t>
  </si>
  <si>
    <t>Капитальный ремонт МКД</t>
  </si>
  <si>
    <t>Реконструкция электросетей 0,4 кВ 5 км.</t>
  </si>
  <si>
    <t>Строительство жилья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</si>
  <si>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</si>
  <si>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</t>
  </si>
  <si>
    <t>2020 г.</t>
  </si>
  <si>
    <t xml:space="preserve">Численность поголовья на 01.01.2017 </t>
  </si>
  <si>
    <t>Численность поголовья на 01.01.2019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</si>
  <si>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</si>
  <si>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</si>
  <si>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План на 2019 год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</si>
  <si>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</si>
  <si>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</si>
  <si>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</si>
  <si>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</si>
  <si>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2019 год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</si>
  <si>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</si>
  <si>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</si>
  <si>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</si>
  <si>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</si>
  <si>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</si>
  <si>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</si>
  <si>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</si>
  <si>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</si>
  <si>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</si>
  <si>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</si>
  <si>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</si>
  <si>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</si>
  <si>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</si>
  <si>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</si>
  <si>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</si>
  <si>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</si>
  <si>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</si>
  <si>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Основные показатели прогноза социально-экономического  развития  городского округа Эгвекинот на 2019 - 2021 годы</t>
  </si>
  <si>
    <t xml:space="preserve">2021 г. 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</si>
  <si>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</si>
  <si>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</si>
  <si>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</si>
  <si>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</si>
  <si>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</si>
  <si>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</si>
  <si>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</si>
  <si>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</si>
  <si>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</si>
  <si>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</si>
  <si>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</si>
  <si>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</si>
  <si>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</si>
  <si>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</si>
  <si>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</si>
  <si>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</si>
  <si>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 xml:space="preserve">Количество малых и средних предприятий по сосотоянию на конец года - всего:  </t>
  </si>
  <si>
    <t>в том числе по видам деятельности:</t>
  </si>
  <si>
    <t xml:space="preserve">Транспортировка и хранение </t>
  </si>
  <si>
    <t>Обеспечение электрической энергией, газом и паром; кондиционирование воздуха</t>
  </si>
  <si>
    <t>Прочие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</si>
  <si>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</si>
  <si>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</si>
  <si>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</si>
  <si>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VI. Труд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</si>
  <si>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</si>
  <si>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</si>
  <si>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</si>
  <si>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</si>
  <si>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Деятельность профессиональная, научная и техническая</t>
  </si>
  <si>
    <t>Госсударственное управление и обеспечение военной безопасности; социальное обеспечение</t>
  </si>
  <si>
    <t>Деятельность в области злравоохранения и социальных услуг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</si>
  <si>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</si>
  <si>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</si>
  <si>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</si>
  <si>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</si>
  <si>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</si>
  <si>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</si>
  <si>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</si>
  <si>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</si>
  <si>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</si>
  <si>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298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</si>
  <si>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</si>
  <si>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</si>
  <si>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</si>
  <si>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</si>
  <si>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</si>
  <si>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</si>
  <si>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</si>
  <si>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</si>
  <si>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Мясо</t>
  </si>
  <si>
    <t>в том числе вырабатываемая:</t>
  </si>
  <si>
    <t>Анкальыт</t>
  </si>
  <si>
    <t>Пионер</t>
  </si>
  <si>
    <t>Возрождение</t>
  </si>
  <si>
    <t>Амгуэма</t>
  </si>
  <si>
    <t>Приложение № 1</t>
  </si>
  <si>
    <t xml:space="preserve">к основным показателям прогноза социально-экономического
 развития городского округа Эгвекинот на 2019-2021 годы </t>
  </si>
  <si>
    <t>Производство важнейших видов продукции в натуральном выражении по городскому округу Эгвекинот на 2019-2021 годы</t>
  </si>
  <si>
    <t>Ед. измерения</t>
  </si>
  <si>
    <t>Факт за 2017 год</t>
  </si>
  <si>
    <t>Ожидаемое выполнение 2018г.</t>
  </si>
  <si>
    <t>2021 г.</t>
  </si>
  <si>
    <t>Отпуск теплоэнергии всего:</t>
  </si>
  <si>
    <t>Объемы производства хлеба и хлебобулочных изделий на 2019 год по городскому округу Эгвекинот</t>
  </si>
  <si>
    <t>Фактически за 2017 год</t>
  </si>
  <si>
    <t>Ожидаемое выполнение за 2018 год</t>
  </si>
  <si>
    <t>ПЛАН по поголовью оленей на 2019 год</t>
  </si>
  <si>
    <t>ФАКТ за 2017 год</t>
  </si>
  <si>
    <t>Ожидаемый за 2018 год</t>
  </si>
  <si>
    <t xml:space="preserve">Численность поголовья на 01.01.2018 </t>
  </si>
  <si>
    <t>Численность поголовья на 01.01.2020</t>
  </si>
  <si>
    <t>строительства, реконструкции и капитального ремонта</t>
  </si>
  <si>
    <t>по городскому округу Эгвекинот на 2019-2021 г.г.</t>
  </si>
  <si>
    <t>Строительство горки в п. Эгвекинот</t>
  </si>
  <si>
    <t>Благоустройство территории строительства памятника «Алсиб»</t>
  </si>
  <si>
    <t>Приобретение квартир</t>
  </si>
  <si>
    <t>Капитальный ремонт водовода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</si>
  <si>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</si>
  <si>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здания  ДЭС</t>
  </si>
  <si>
    <t>Реконструкция  сетей холодного водоснабжения</t>
  </si>
  <si>
    <t>Реконструкция канализационных сетей</t>
  </si>
  <si>
    <t>Реонструкция, ремонт сетей электроснабжения</t>
  </si>
  <si>
    <t>Капитальный ремонт 16- квартирного дома по ул. Солнечная, 12 в с. Рыркайпий</t>
  </si>
  <si>
    <t>Строительство 12 одноквартирных  домов</t>
  </si>
  <si>
    <t>Монтаж модульного автономного отопления дома культуры</t>
  </si>
  <si>
    <t>Фактическое исполнение за 2018 год</t>
  </si>
  <si>
    <t>План на 2019 год (по состоянию на 1 января)</t>
  </si>
  <si>
    <t>План на 2019 год с учетом изменений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</si>
  <si>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</si>
  <si>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</si>
  <si>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</si>
  <si>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</si>
  <si>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</si>
  <si>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</si>
  <si>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</si>
  <si>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</si>
  <si>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</si>
  <si>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</si>
  <si>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</si>
  <si>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</si>
  <si>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обустройство и восстановление воинских захоронений, находящихся в государственной собственности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</si>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</sst>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0.0000"/>
    <numFmt numFmtId="174" formatCode="0.0000;[Red]0.0000"/>
    <numFmt numFmtId="175" formatCode="#,##0.0000"/>
  </numFmts>
  <fonts count="5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0" fontId="20" fillId="0" borderId="0"/>
    <xf numFmtId="0" fontId="20" fillId="0" borderId="0"/>
    <xf numFmtId="1" fontId="21" fillId="0" borderId="22">
      <alignment horizontal="center" vertical="center" wrapText="1" shrinkToFit="1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3" fillId="0" borderId="0"/>
    <xf numFmtId="0" fontId="20" fillId="0" borderId="0"/>
    <xf numFmtId="0" fontId="24" fillId="2" borderId="0">
      <alignment vertical="center"/>
    </xf>
    <xf numFmtId="0" fontId="23" fillId="2" borderId="0"/>
    <xf numFmtId="0" fontId="25" fillId="0" borderId="0">
      <alignment horizontal="center" vertical="center"/>
    </xf>
    <xf numFmtId="0" fontId="26" fillId="0" borderId="0">
      <alignment horizontal="center" wrapText="1"/>
    </xf>
    <xf numFmtId="0" fontId="27" fillId="0" borderId="0">
      <alignment horizontal="center" vertical="center"/>
    </xf>
    <xf numFmtId="0" fontId="23" fillId="0" borderId="0"/>
    <xf numFmtId="0" fontId="27" fillId="0" borderId="0">
      <alignment vertical="center"/>
    </xf>
    <xf numFmtId="0" fontId="23" fillId="2" borderId="23"/>
    <xf numFmtId="0" fontId="21" fillId="0" borderId="0">
      <alignment horizontal="center" vertical="center"/>
    </xf>
    <xf numFmtId="0" fontId="28" fillId="0" borderId="24">
      <alignment horizontal="center" vertical="center" wrapText="1"/>
    </xf>
    <xf numFmtId="0" fontId="21" fillId="0" borderId="0">
      <alignment vertical="center"/>
    </xf>
    <xf numFmtId="0" fontId="23" fillId="0" borderId="25"/>
    <xf numFmtId="0" fontId="21" fillId="0" borderId="0">
      <alignment horizontal="left" vertical="center" wrapText="1"/>
    </xf>
    <xf numFmtId="0" fontId="23" fillId="2" borderId="26"/>
    <xf numFmtId="0" fontId="25" fillId="0" borderId="0">
      <alignment horizontal="center" vertical="center" wrapText="1"/>
    </xf>
    <xf numFmtId="49" fontId="23" fillId="0" borderId="24">
      <alignment horizontal="left" shrinkToFit="1"/>
    </xf>
    <xf numFmtId="0" fontId="21" fillId="0" borderId="23">
      <alignment vertical="center"/>
    </xf>
    <xf numFmtId="4" fontId="23" fillId="0" borderId="24">
      <alignment horizontal="right" vertical="top" shrinkToFit="1"/>
    </xf>
    <xf numFmtId="0" fontId="21" fillId="0" borderId="24">
      <alignment horizontal="center" vertical="center" wrapText="1"/>
    </xf>
    <xf numFmtId="0" fontId="23" fillId="2" borderId="27"/>
    <xf numFmtId="0" fontId="21" fillId="0" borderId="28">
      <alignment horizontal="center" vertical="center" wrapText="1"/>
    </xf>
    <xf numFmtId="49" fontId="23" fillId="3" borderId="24">
      <alignment horizontal="left" shrinkToFit="1"/>
    </xf>
    <xf numFmtId="0" fontId="24" fillId="2" borderId="29">
      <alignment vertical="center"/>
    </xf>
    <xf numFmtId="4" fontId="23" fillId="4" borderId="24">
      <alignment horizontal="right" vertical="top" shrinkToFit="1"/>
    </xf>
    <xf numFmtId="49" fontId="29" fillId="0" borderId="24">
      <alignment vertical="center" wrapText="1"/>
    </xf>
    <xf numFmtId="0" fontId="28" fillId="5" borderId="24">
      <alignment horizontal="left"/>
    </xf>
    <xf numFmtId="0" fontId="24" fillId="2" borderId="26">
      <alignment vertical="center"/>
    </xf>
    <xf numFmtId="4" fontId="28" fillId="6" borderId="24">
      <alignment horizontal="right" vertical="top" shrinkToFit="1"/>
    </xf>
    <xf numFmtId="49" fontId="30" fillId="0" borderId="30">
      <alignment horizontal="left" vertical="center" wrapText="1" indent="1"/>
    </xf>
    <xf numFmtId="0" fontId="31" fillId="0" borderId="0">
      <alignment wrapText="1"/>
    </xf>
    <xf numFmtId="0" fontId="24" fillId="2" borderId="31">
      <alignment vertical="center"/>
    </xf>
    <xf numFmtId="0" fontId="24" fillId="0" borderId="0">
      <alignment vertical="center"/>
    </xf>
    <xf numFmtId="0" fontId="29" fillId="0" borderId="0">
      <alignment horizontal="left" vertical="center" wrapText="1"/>
    </xf>
    <xf numFmtId="0" fontId="25" fillId="0" borderId="0">
      <alignment vertical="center"/>
    </xf>
    <xf numFmtId="0" fontId="21" fillId="0" borderId="0">
      <alignment vertical="center" wrapText="1"/>
    </xf>
    <xf numFmtId="0" fontId="21" fillId="0" borderId="23">
      <alignment horizontal="left" vertical="center" wrapText="1"/>
    </xf>
    <xf numFmtId="0" fontId="21" fillId="0" borderId="27">
      <alignment horizontal="left" vertical="center" wrapText="1"/>
    </xf>
    <xf numFmtId="0" fontId="21" fillId="0" borderId="26">
      <alignment vertical="center" wrapText="1"/>
    </xf>
    <xf numFmtId="0" fontId="21" fillId="0" borderId="32">
      <alignment horizontal="center" vertical="center" wrapText="1"/>
    </xf>
    <xf numFmtId="1" fontId="29" fillId="0" borderId="24">
      <alignment horizontal="center" vertical="center" shrinkToFit="1"/>
      <protection locked="0"/>
    </xf>
    <xf numFmtId="0" fontId="24" fillId="2" borderId="27">
      <alignment vertical="center"/>
    </xf>
    <xf numFmtId="1" fontId="30" fillId="0" borderId="24">
      <alignment horizontal="center" vertical="center" shrinkToFit="1"/>
    </xf>
    <xf numFmtId="0" fontId="24" fillId="2" borderId="0">
      <alignment vertical="center" shrinkToFit="1"/>
    </xf>
    <xf numFmtId="49" fontId="21" fillId="0" borderId="0">
      <alignment vertical="center" wrapText="1"/>
    </xf>
    <xf numFmtId="49" fontId="21" fillId="0" borderId="26">
      <alignment vertical="center" wrapText="1"/>
    </xf>
    <xf numFmtId="4" fontId="29" fillId="0" borderId="24">
      <alignment horizontal="right" vertical="center" shrinkToFit="1"/>
      <protection locked="0"/>
    </xf>
    <xf numFmtId="4" fontId="30" fillId="0" borderId="24">
      <alignment horizontal="right" vertical="center" shrinkToFit="1"/>
    </xf>
    <xf numFmtId="0" fontId="32" fillId="0" borderId="0">
      <alignment horizontal="center" vertical="center" wrapText="1"/>
    </xf>
    <xf numFmtId="0" fontId="21" fillId="0" borderId="33">
      <alignment vertical="center"/>
    </xf>
    <xf numFmtId="0" fontId="21" fillId="0" borderId="34">
      <alignment horizontal="right" vertical="center"/>
    </xf>
    <xf numFmtId="0" fontId="21" fillId="0" borderId="23">
      <alignment horizontal="right" vertical="center"/>
    </xf>
    <xf numFmtId="0" fontId="21" fillId="0" borderId="32">
      <alignment horizontal="center" vertical="center"/>
    </xf>
    <xf numFmtId="49" fontId="21" fillId="0" borderId="35">
      <alignment horizontal="center" vertical="center"/>
    </xf>
    <xf numFmtId="0" fontId="21" fillId="0" borderId="22">
      <alignment horizontal="center" vertical="center"/>
    </xf>
    <xf numFmtId="1" fontId="21" fillId="0" borderId="22">
      <alignment horizontal="center" vertical="center"/>
    </xf>
    <xf numFmtId="1" fontId="21" fillId="0" borderId="22">
      <alignment horizontal="center" vertical="center" shrinkToFit="1"/>
    </xf>
    <xf numFmtId="49" fontId="21" fillId="0" borderId="22">
      <alignment horizontal="center" vertical="center"/>
    </xf>
    <xf numFmtId="0" fontId="21" fillId="0" borderId="36">
      <alignment horizontal="center" vertical="center"/>
    </xf>
    <xf numFmtId="0" fontId="21" fillId="0" borderId="37">
      <alignment vertical="center"/>
    </xf>
    <xf numFmtId="0" fontId="21" fillId="0" borderId="24">
      <alignment horizontal="center" vertical="center" wrapText="1"/>
    </xf>
    <xf numFmtId="0" fontId="21" fillId="0" borderId="38">
      <alignment horizontal="center" vertical="center" wrapText="1"/>
    </xf>
    <xf numFmtId="0" fontId="33" fillId="0" borderId="23">
      <alignment horizontal="right" vertical="center"/>
    </xf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8" fillId="0" borderId="0"/>
    <xf numFmtId="0" fontId="34" fillId="0" borderId="0"/>
    <xf numFmtId="0" fontId="11" fillId="0" borderId="0"/>
    <xf numFmtId="0" fontId="14" fillId="0" borderId="0"/>
    <xf numFmtId="0" fontId="1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75">
    <xf numFmtId="0" fontId="0" fillId="0" borderId="0" xfId="0"/>
    <xf numFmtId="0" fontId="19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9" fillId="0" borderId="0" xfId="87" applyNumberFormat="1"/>
    <xf numFmtId="0" fontId="2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6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 horizontal="center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6" fillId="0" borderId="0" xfId="0" applyNumberFormat="1" applyFont="1"/>
    <xf numFmtId="0" fontId="10" fillId="0" borderId="0" xfId="90" applyFont="1" applyAlignment="1">
      <alignment wrapText="1"/>
    </xf>
    <xf numFmtId="0" fontId="35" fillId="0" borderId="0" xfId="87" applyFont="1"/>
    <xf numFmtId="0" fontId="13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9" fillId="0" borderId="0" xfId="87" applyNumberFormat="1" applyFill="1"/>
    <xf numFmtId="0" fontId="39" fillId="0" borderId="0" xfId="0" applyFont="1"/>
    <xf numFmtId="0" fontId="39" fillId="0" borderId="2" xfId="0" applyFont="1" applyBorder="1"/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2" xfId="0" applyFont="1" applyBorder="1" applyAlignment="1">
      <alignment wrapText="1"/>
    </xf>
    <xf numFmtId="0" fontId="11" fillId="0" borderId="0" xfId="91" applyFont="1" applyFill="1" applyBorder="1" applyAlignment="1" applyProtection="1">
      <alignment vertical="top" wrapText="1"/>
      <protection hidden="1"/>
    </xf>
    <xf numFmtId="0" fontId="11" fillId="0" borderId="0" xfId="91" applyFont="1" applyFill="1" applyProtection="1">
      <protection hidden="1"/>
    </xf>
    <xf numFmtId="0" fontId="15" fillId="0" borderId="0" xfId="91" applyFont="1" applyFill="1" applyBorder="1" applyAlignment="1">
      <alignment wrapText="1"/>
    </xf>
    <xf numFmtId="0" fontId="11" fillId="0" borderId="0" xfId="91" applyFont="1" applyFill="1" applyAlignment="1"/>
    <xf numFmtId="0" fontId="16" fillId="0" borderId="4" xfId="91" applyFont="1" applyFill="1" applyBorder="1" applyAlignment="1" applyProtection="1">
      <alignment horizontal="center" vertical="center"/>
      <protection hidden="1"/>
    </xf>
    <xf numFmtId="0" fontId="11" fillId="0" borderId="0" xfId="91" applyFont="1" applyFill="1" applyAlignment="1" applyProtection="1">
      <alignment vertical="top" wrapText="1"/>
      <protection hidden="1"/>
    </xf>
    <xf numFmtId="0" fontId="34" fillId="0" borderId="0" xfId="89"/>
    <xf numFmtId="0" fontId="35" fillId="0" borderId="7" xfId="89" applyFont="1" applyBorder="1" applyAlignment="1">
      <alignment horizontal="center" vertical="top" wrapText="1"/>
    </xf>
    <xf numFmtId="0" fontId="35" fillId="0" borderId="8" xfId="89" applyFont="1" applyBorder="1" applyAlignment="1">
      <alignment horizontal="center" vertical="top" wrapText="1"/>
    </xf>
    <xf numFmtId="0" fontId="35" fillId="0" borderId="3" xfId="89" applyFont="1" applyBorder="1" applyAlignment="1">
      <alignment vertical="top" wrapText="1"/>
    </xf>
    <xf numFmtId="0" fontId="40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7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7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2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7" fillId="0" borderId="13" xfId="89" applyFont="1" applyBorder="1" applyAlignment="1">
      <alignment horizontal="center" vertical="top" wrapText="1"/>
    </xf>
    <xf numFmtId="0" fontId="37" fillId="0" borderId="14" xfId="89" applyFont="1" applyBorder="1" applyAlignment="1">
      <alignment vertical="top" wrapText="1"/>
    </xf>
    <xf numFmtId="0" fontId="37" fillId="0" borderId="14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wrapText="1"/>
    </xf>
    <xf numFmtId="0" fontId="6" fillId="0" borderId="16" xfId="89" applyFont="1" applyFill="1" applyBorder="1" applyAlignment="1">
      <alignment horizontal="center" wrapText="1"/>
    </xf>
    <xf numFmtId="0" fontId="41" fillId="0" borderId="0" xfId="89" applyFont="1" applyAlignment="1">
      <alignment horizontal="left"/>
    </xf>
    <xf numFmtId="0" fontId="37" fillId="0" borderId="0" xfId="89" applyFont="1" applyAlignment="1">
      <alignment horizontal="center"/>
    </xf>
    <xf numFmtId="0" fontId="39" fillId="0" borderId="2" xfId="89" applyFont="1" applyBorder="1" applyAlignment="1">
      <alignment horizontal="center" vertical="top" wrapText="1"/>
    </xf>
    <xf numFmtId="0" fontId="39" fillId="0" borderId="2" xfId="89" applyFont="1" applyBorder="1" applyAlignment="1">
      <alignment vertical="top" wrapText="1"/>
    </xf>
    <xf numFmtId="0" fontId="39" fillId="0" borderId="2" xfId="89" applyFont="1" applyBorder="1" applyAlignment="1">
      <alignment horizontal="center" vertical="center" wrapText="1"/>
    </xf>
    <xf numFmtId="0" fontId="39" fillId="0" borderId="2" xfId="89" applyFont="1" applyFill="1" applyBorder="1" applyAlignment="1">
      <alignment horizontal="center" vertical="center" wrapText="1"/>
    </xf>
    <xf numFmtId="0" fontId="42" fillId="0" borderId="2" xfId="89" applyFont="1" applyBorder="1" applyAlignment="1">
      <alignment horizontal="left" vertical="top" wrapText="1"/>
    </xf>
    <xf numFmtId="0" fontId="42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vertical="top" wrapText="1"/>
    </xf>
    <xf numFmtId="3" fontId="43" fillId="0" borderId="2" xfId="89" applyNumberFormat="1" applyFont="1" applyFill="1" applyBorder="1" applyAlignment="1">
      <alignment horizontal="center" vertical="top" wrapText="1"/>
    </xf>
    <xf numFmtId="0" fontId="35" fillId="0" borderId="2" xfId="89" applyFont="1" applyFill="1" applyBorder="1" applyAlignment="1">
      <alignment vertical="top" wrapText="1"/>
    </xf>
    <xf numFmtId="3" fontId="44" fillId="0" borderId="2" xfId="89" applyNumberFormat="1" applyFont="1" applyFill="1" applyBorder="1" applyAlignment="1">
      <alignment horizontal="center" vertical="top" wrapText="1"/>
    </xf>
    <xf numFmtId="0" fontId="34" fillId="0" borderId="0" xfId="89" applyFill="1"/>
    <xf numFmtId="0" fontId="37" fillId="0" borderId="0" xfId="89" applyFont="1" applyFill="1" applyAlignment="1">
      <alignment vertical="center"/>
    </xf>
    <xf numFmtId="0" fontId="37" fillId="0" borderId="0" xfId="89" applyFont="1" applyAlignment="1">
      <alignment vertical="center"/>
    </xf>
    <xf numFmtId="0" fontId="37" fillId="0" borderId="2" xfId="89" applyFont="1" applyBorder="1" applyAlignment="1">
      <alignment vertical="center" wrapText="1"/>
    </xf>
    <xf numFmtId="0" fontId="37" fillId="0" borderId="2" xfId="89" applyFont="1" applyFill="1" applyBorder="1" applyAlignment="1">
      <alignment vertical="center" wrapText="1"/>
    </xf>
    <xf numFmtId="0" fontId="45" fillId="0" borderId="2" xfId="89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wrapText="1"/>
    </xf>
    <xf numFmtId="49" fontId="19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9" fillId="0" borderId="0" xfId="87" applyBorder="1"/>
    <xf numFmtId="165" fontId="1" fillId="0" borderId="0" xfId="98" applyNumberFormat="1" applyFont="1" applyFill="1" applyBorder="1" applyAlignment="1">
      <alignment horizontal="right"/>
    </xf>
    <xf numFmtId="165" fontId="43" fillId="0" borderId="2" xfId="89" applyNumberFormat="1" applyFont="1" applyFill="1" applyBorder="1" applyAlignment="1">
      <alignment horizontal="center" vertical="top" wrapText="1"/>
    </xf>
    <xf numFmtId="165" fontId="44" fillId="0" borderId="2" xfId="89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38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165" fontId="9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9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5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7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wrapText="1"/>
    </xf>
    <xf numFmtId="165" fontId="5" fillId="0" borderId="2" xfId="98" applyNumberFormat="1" applyFont="1" applyFill="1" applyBorder="1" applyAlignment="1">
      <alignment horizontal="right"/>
    </xf>
    <xf numFmtId="0" fontId="35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9" fillId="0" borderId="2" xfId="87" applyFill="1" applyBorder="1"/>
    <xf numFmtId="0" fontId="0" fillId="0" borderId="0" xfId="0" applyFill="1"/>
    <xf numFmtId="0" fontId="6" fillId="0" borderId="0" xfId="90" applyFont="1" applyFill="1" applyAlignment="1">
      <alignment horizontal="right"/>
    </xf>
    <xf numFmtId="165" fontId="35" fillId="0" borderId="2" xfId="0" applyNumberFormat="1" applyFont="1" applyFill="1" applyBorder="1"/>
    <xf numFmtId="165" fontId="37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11" fillId="0" borderId="0" xfId="91" applyFont="1" applyFill="1" applyAlignment="1">
      <alignment horizontal="right"/>
    </xf>
    <xf numFmtId="0" fontId="0" fillId="0" borderId="0" xfId="91" applyFont="1" applyFill="1" applyAlignment="1">
      <alignment horizontal="right"/>
    </xf>
    <xf numFmtId="0" fontId="49" fillId="0" borderId="0" xfId="91" applyFont="1" applyFill="1" applyBorder="1" applyAlignment="1"/>
    <xf numFmtId="0" fontId="49" fillId="0" borderId="0" xfId="91" applyFont="1" applyFill="1" applyProtection="1">
      <protection hidden="1"/>
    </xf>
    <xf numFmtId="0" fontId="16" fillId="0" borderId="2" xfId="91" applyFont="1" applyFill="1" applyBorder="1" applyAlignment="1" applyProtection="1">
      <alignment horizontal="center" vertical="center" wrapText="1"/>
      <protection hidden="1"/>
    </xf>
    <xf numFmtId="14" fontId="16" fillId="0" borderId="0" xfId="91" applyNumberFormat="1" applyFont="1" applyFill="1" applyBorder="1" applyAlignment="1" applyProtection="1">
      <alignment horizontal="center" vertical="center"/>
      <protection hidden="1"/>
    </xf>
    <xf numFmtId="14" fontId="16" fillId="0" borderId="0" xfId="91" applyNumberFormat="1" applyFont="1" applyFill="1" applyAlignment="1" applyProtection="1">
      <alignment horizontal="center" vertical="center"/>
      <protection hidden="1"/>
    </xf>
    <xf numFmtId="0" fontId="49" fillId="0" borderId="0" xfId="91" quotePrefix="1" applyFont="1" applyFill="1" applyProtection="1">
      <protection hidden="1"/>
    </xf>
    <xf numFmtId="0" fontId="49" fillId="0" borderId="0" xfId="91" applyFont="1" applyFill="1" applyBorder="1" applyAlignment="1">
      <alignment horizontal="center" vertical="center"/>
    </xf>
    <xf numFmtId="0" fontId="49" fillId="0" borderId="0" xfId="91" applyFont="1" applyFill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4" xfId="91" applyNumberFormat="1" applyFont="1" applyFill="1" applyBorder="1" applyAlignment="1" applyProtection="1">
      <alignment horizont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Protection="1">
      <protection hidden="1"/>
    </xf>
    <xf numFmtId="0" fontId="50" fillId="0" borderId="0" xfId="91" applyFont="1" applyFill="1" applyProtection="1">
      <protection hidden="1"/>
    </xf>
    <xf numFmtId="167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 vertical="center"/>
      <protection hidden="1"/>
    </xf>
    <xf numFmtId="168" fontId="51" fillId="0" borderId="4" xfId="91" applyNumberFormat="1" applyFont="1" applyFill="1" applyBorder="1" applyAlignment="1" applyProtection="1">
      <alignment horizontal="center" vertical="center"/>
      <protection hidden="1"/>
    </xf>
    <xf numFmtId="168" fontId="51" fillId="0" borderId="0" xfId="91" applyNumberFormat="1" applyFont="1" applyFill="1" applyBorder="1" applyAlignment="1" applyProtection="1">
      <alignment horizontal="center" vertical="center"/>
      <protection hidden="1"/>
    </xf>
    <xf numFmtId="166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Border="1" applyAlignment="1" applyProtection="1">
      <alignment horizontal="center"/>
      <protection locked="0" hidden="1"/>
    </xf>
    <xf numFmtId="0" fontId="50" fillId="0" borderId="0" xfId="91" applyFont="1" applyFill="1" applyBorder="1" applyProtection="1">
      <protection hidden="1"/>
    </xf>
    <xf numFmtId="0" fontId="49" fillId="0" borderId="0" xfId="91" applyFont="1" applyFill="1" applyBorder="1" applyAlignment="1" applyProtection="1">
      <alignment horizontal="center" vertical="center"/>
      <protection hidden="1"/>
    </xf>
    <xf numFmtId="0" fontId="49" fillId="0" borderId="0" xfId="91" applyFont="1" applyFill="1" applyBorder="1" applyProtection="1">
      <protection hidden="1"/>
    </xf>
    <xf numFmtId="0" fontId="50" fillId="0" borderId="0" xfId="91" applyFont="1" applyFill="1" applyBorder="1" applyAlignment="1">
      <alignment horizontal="center" vertical="center"/>
    </xf>
    <xf numFmtId="0" fontId="50" fillId="0" borderId="0" xfId="9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horizontal="left" vertical="center" wrapText="1"/>
      <protection hidden="1"/>
    </xf>
    <xf numFmtId="0" fontId="53" fillId="0" borderId="2" xfId="91" applyFont="1" applyFill="1" applyBorder="1" applyAlignment="1" applyProtection="1">
      <alignment horizontal="center" vertical="center" wrapText="1"/>
      <protection hidden="1"/>
    </xf>
    <xf numFmtId="2" fontId="50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4" fontId="53" fillId="0" borderId="2" xfId="91" applyNumberFormat="1" applyFont="1" applyFill="1" applyBorder="1" applyProtection="1">
      <protection hidden="1"/>
    </xf>
    <xf numFmtId="4" fontId="53" fillId="0" borderId="4" xfId="91" applyNumberFormat="1" applyFont="1" applyFill="1" applyBorder="1" applyProtection="1">
      <protection hidden="1"/>
    </xf>
    <xf numFmtId="4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Alignment="1" applyProtection="1">
      <alignment horizontal="left"/>
      <protection hidden="1"/>
    </xf>
    <xf numFmtId="2" fontId="50" fillId="0" borderId="0" xfId="91" applyNumberFormat="1" applyFont="1" applyFill="1" applyBorder="1" applyAlignment="1" applyProtection="1">
      <alignment horizontal="center"/>
      <protection hidden="1"/>
    </xf>
    <xf numFmtId="4" fontId="50" fillId="0" borderId="0" xfId="91" applyNumberFormat="1" applyFont="1" applyFill="1" applyProtection="1">
      <protection hidden="1"/>
    </xf>
    <xf numFmtId="167" fontId="51" fillId="0" borderId="2" xfId="91" applyNumberFormat="1" applyFont="1" applyFill="1" applyBorder="1" applyProtection="1">
      <protection hidden="1"/>
    </xf>
    <xf numFmtId="167" fontId="51" fillId="0" borderId="2" xfId="91" applyNumberFormat="1" applyFont="1" applyFill="1" applyBorder="1" applyAlignment="1" applyProtection="1">
      <alignment vertical="center"/>
      <protection hidden="1"/>
    </xf>
    <xf numFmtId="167" fontId="51" fillId="0" borderId="4" xfId="91" applyNumberFormat="1" applyFont="1" applyFill="1" applyBorder="1" applyAlignment="1" applyProtection="1">
      <alignment vertical="center"/>
      <protection hidden="1"/>
    </xf>
    <xf numFmtId="173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Protection="1">
      <protection hidden="1"/>
    </xf>
    <xf numFmtId="169" fontId="53" fillId="0" borderId="2" xfId="91" applyNumberFormat="1" applyFont="1" applyFill="1" applyBorder="1" applyProtection="1">
      <protection hidden="1"/>
    </xf>
    <xf numFmtId="169" fontId="53" fillId="0" borderId="4" xfId="91" applyNumberFormat="1" applyFont="1" applyFill="1" applyBorder="1" applyProtection="1">
      <protection hidden="1"/>
    </xf>
    <xf numFmtId="174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0" xfId="91" applyFont="1" applyFill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Protection="1">
      <protection hidden="1"/>
    </xf>
    <xf numFmtId="169" fontId="51" fillId="0" borderId="2" xfId="91" applyNumberFormat="1" applyFont="1" applyFill="1" applyBorder="1" applyAlignment="1" applyProtection="1">
      <alignment horizontal="right"/>
      <protection hidden="1"/>
    </xf>
    <xf numFmtId="169" fontId="51" fillId="0" borderId="4" xfId="91" applyNumberFormat="1" applyFont="1" applyFill="1" applyBorder="1" applyAlignment="1" applyProtection="1">
      <alignment horizontal="right"/>
      <protection hidden="1"/>
    </xf>
    <xf numFmtId="174" fontId="51" fillId="0" borderId="0" xfId="91" applyNumberFormat="1" applyFont="1" applyFill="1" applyBorder="1" applyAlignment="1" applyProtection="1">
      <alignment horizontal="center" vertical="center"/>
      <protection hidden="1"/>
    </xf>
    <xf numFmtId="167" fontId="50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3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50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5" fontId="53" fillId="0" borderId="2" xfId="91" applyNumberFormat="1" applyFont="1" applyFill="1" applyBorder="1" applyProtection="1">
      <protection locked="0" hidden="1"/>
    </xf>
    <xf numFmtId="165" fontId="53" fillId="0" borderId="4" xfId="91" applyNumberFormat="1" applyFont="1" applyFill="1" applyBorder="1" applyProtection="1">
      <protection locked="0"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5" fontId="50" fillId="0" borderId="4" xfId="91" applyNumberFormat="1" applyFont="1" applyFill="1" applyBorder="1" applyProtection="1">
      <protection locked="0" hidden="1"/>
    </xf>
    <xf numFmtId="167" fontId="50" fillId="0" borderId="5" xfId="91" applyNumberFormat="1" applyFont="1" applyFill="1" applyBorder="1" applyAlignment="1" applyProtection="1">
      <alignment vertical="top" wrapText="1"/>
      <protection hidden="1"/>
    </xf>
    <xf numFmtId="2" fontId="53" fillId="0" borderId="2" xfId="91" applyNumberFormat="1" applyFont="1" applyFill="1" applyBorder="1" applyProtection="1">
      <protection hidden="1"/>
    </xf>
    <xf numFmtId="2" fontId="53" fillId="0" borderId="4" xfId="91" applyNumberFormat="1" applyFont="1" applyFill="1" applyBorder="1" applyProtection="1">
      <protection hidden="1"/>
    </xf>
    <xf numFmtId="173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Alignment="1" applyProtection="1">
      <alignment vertical="center"/>
      <protection hidden="1"/>
    </xf>
    <xf numFmtId="169" fontId="51" fillId="0" borderId="2" xfId="91" applyNumberFormat="1" applyFont="1" applyFill="1" applyBorder="1" applyAlignment="1" applyProtection="1">
      <alignment horizontal="right" vertical="center"/>
      <protection hidden="1"/>
    </xf>
    <xf numFmtId="4" fontId="51" fillId="0" borderId="2" xfId="91" applyNumberFormat="1" applyFont="1" applyFill="1" applyBorder="1" applyAlignment="1" applyProtection="1">
      <alignment vertical="center"/>
      <protection hidden="1"/>
    </xf>
    <xf numFmtId="4" fontId="51" fillId="0" borderId="4" xfId="91" applyNumberFormat="1" applyFont="1" applyFill="1" applyBorder="1" applyAlignment="1" applyProtection="1">
      <alignment vertical="center"/>
      <protection hidden="1"/>
    </xf>
    <xf numFmtId="4" fontId="51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</xf>
    <xf numFmtId="0" fontId="50" fillId="0" borderId="2" xfId="91" applyFont="1" applyFill="1" applyBorder="1" applyAlignment="1" applyProtection="1">
      <alignment horizontal="center" vertical="center" wrapText="1"/>
    </xf>
    <xf numFmtId="2" fontId="50" fillId="0" borderId="2" xfId="91" applyNumberFormat="1" applyFont="1" applyFill="1" applyBorder="1" applyProtection="1">
      <protection locked="0" hidden="1"/>
    </xf>
    <xf numFmtId="2" fontId="50" fillId="0" borderId="4" xfId="91" applyNumberFormat="1" applyFont="1" applyFill="1" applyBorder="1" applyProtection="1">
      <protection locked="0" hidden="1"/>
    </xf>
    <xf numFmtId="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2" fontId="51" fillId="0" borderId="2" xfId="91" applyNumberFormat="1" applyFont="1" applyFill="1" applyBorder="1" applyProtection="1">
      <protection locked="0" hidden="1"/>
    </xf>
    <xf numFmtId="2" fontId="51" fillId="0" borderId="2" xfId="91" applyNumberFormat="1" applyFont="1" applyFill="1" applyBorder="1" applyAlignment="1" applyProtection="1">
      <alignment vertical="center"/>
      <protection locked="0" hidden="1"/>
    </xf>
    <xf numFmtId="2" fontId="51" fillId="0" borderId="4" xfId="91" applyNumberFormat="1" applyFont="1" applyFill="1" applyBorder="1" applyAlignment="1" applyProtection="1">
      <alignment vertical="center"/>
      <protection locked="0" hidden="1"/>
    </xf>
    <xf numFmtId="2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center" wrapText="1"/>
    </xf>
    <xf numFmtId="2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2" fontId="50" fillId="0" borderId="2" xfId="91" applyNumberFormat="1" applyFont="1" applyFill="1" applyBorder="1" applyAlignment="1" applyProtection="1">
      <alignment vertical="center"/>
      <protection locked="0" hidden="1"/>
    </xf>
    <xf numFmtId="169" fontId="50" fillId="0" borderId="2" xfId="91" applyNumberFormat="1" applyFont="1" applyFill="1" applyBorder="1" applyAlignment="1" applyProtection="1">
      <alignment vertical="center"/>
      <protection locked="0" hidden="1"/>
    </xf>
    <xf numFmtId="2" fontId="50" fillId="0" borderId="4" xfId="91" applyNumberFormat="1" applyFont="1" applyFill="1" applyBorder="1" applyAlignment="1" applyProtection="1">
      <alignment vertical="center"/>
      <protection locked="0" hidden="1"/>
    </xf>
    <xf numFmtId="2" fontId="50" fillId="0" borderId="0" xfId="91" applyNumberFormat="1" applyFont="1" applyFill="1" applyBorder="1" applyAlignment="1" applyProtection="1">
      <alignment horizontal="left" vertical="center"/>
      <protection locked="0" hidden="1"/>
    </xf>
    <xf numFmtId="168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3" fillId="0" borderId="5" xfId="91" applyFont="1" applyFill="1" applyBorder="1" applyAlignment="1" applyProtection="1">
      <alignment horizontal="left" vertical="top" wrapText="1"/>
      <protection hidden="1"/>
    </xf>
    <xf numFmtId="0" fontId="53" fillId="0" borderId="2" xfId="91" applyFont="1" applyFill="1" applyBorder="1" applyProtection="1">
      <protection locked="0" hidden="1"/>
    </xf>
    <xf numFmtId="0" fontId="53" fillId="0" borderId="2" xfId="91" applyFont="1" applyFill="1" applyBorder="1" applyAlignment="1" applyProtection="1">
      <alignment vertical="center"/>
      <protection locked="0" hidden="1"/>
    </xf>
    <xf numFmtId="0" fontId="53" fillId="0" borderId="2" xfId="91" applyFont="1" applyFill="1" applyBorder="1" applyAlignment="1" applyProtection="1">
      <alignment horizontal="center" vertical="center"/>
      <protection locked="0" hidden="1"/>
    </xf>
    <xf numFmtId="0" fontId="53" fillId="0" borderId="4" xfId="91" applyFont="1" applyFill="1" applyBorder="1" applyAlignment="1" applyProtection="1">
      <alignment horizontal="center" vertical="center"/>
      <protection locked="0" hidden="1"/>
    </xf>
    <xf numFmtId="0" fontId="50" fillId="0" borderId="0" xfId="91" applyFont="1" applyFill="1" applyBorder="1" applyAlignment="1" applyProtection="1">
      <alignment horizontal="center" vertical="center"/>
      <protection locked="0" hidden="1"/>
    </xf>
    <xf numFmtId="0" fontId="50" fillId="0" borderId="2" xfId="91" applyFont="1" applyFill="1" applyBorder="1" applyProtection="1">
      <protection locked="0" hidden="1"/>
    </xf>
    <xf numFmtId="0" fontId="50" fillId="0" borderId="4" xfId="91" applyFont="1" applyFill="1" applyBorder="1" applyProtection="1"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169" fontId="53" fillId="0" borderId="2" xfId="91" applyNumberFormat="1" applyFont="1" applyFill="1" applyBorder="1" applyAlignment="1" applyProtection="1">
      <alignment horizontal="right"/>
      <protection locked="0" hidden="1"/>
    </xf>
    <xf numFmtId="49" fontId="51" fillId="0" borderId="2" xfId="91" applyNumberFormat="1" applyFont="1" applyFill="1" applyBorder="1" applyAlignment="1" applyProtection="1">
      <alignment horizontal="right"/>
      <protection hidden="1"/>
    </xf>
    <xf numFmtId="168" fontId="51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hidden="1"/>
    </xf>
    <xf numFmtId="167" fontId="50" fillId="0" borderId="2" xfId="91" applyNumberFormat="1" applyFont="1" applyFill="1" applyBorder="1" applyAlignment="1" applyProtection="1">
      <alignment vertical="center"/>
      <protection hidden="1"/>
    </xf>
    <xf numFmtId="167" fontId="50" fillId="0" borderId="4" xfId="91" applyNumberFormat="1" applyFont="1" applyFill="1" applyBorder="1" applyAlignment="1" applyProtection="1">
      <alignment vertical="center"/>
      <protection hidden="1"/>
    </xf>
    <xf numFmtId="169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4" xfId="91" applyFont="1" applyFill="1" applyBorder="1" applyAlignment="1" applyProtection="1">
      <alignment vertical="center"/>
      <protection locked="0"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1" fontId="53" fillId="0" borderId="2" xfId="91" applyNumberFormat="1" applyFont="1" applyFill="1" applyBorder="1" applyAlignment="1" applyProtection="1">
      <alignment horizontal="right"/>
      <protection locked="0" hidden="1"/>
    </xf>
    <xf numFmtId="0" fontId="53" fillId="0" borderId="2" xfId="91" applyFont="1" applyFill="1" applyBorder="1" applyAlignment="1" applyProtection="1">
      <alignment horizontal="right"/>
      <protection locked="0" hidden="1"/>
    </xf>
    <xf numFmtId="1" fontId="53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3" fillId="0" borderId="4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protection locked="0" hidden="1"/>
    </xf>
    <xf numFmtId="0" fontId="50" fillId="0" borderId="2" xfId="91" applyFont="1" applyFill="1" applyBorder="1" applyAlignment="1" applyProtection="1">
      <protection locked="0" hidden="1"/>
    </xf>
    <xf numFmtId="0" fontId="50" fillId="0" borderId="4" xfId="91" applyFont="1" applyFill="1" applyBorder="1" applyAlignment="1" applyProtection="1">
      <protection locked="0" hidden="1"/>
    </xf>
    <xf numFmtId="1" fontId="50" fillId="0" borderId="2" xfId="91" applyNumberFormat="1" applyFont="1" applyFill="1" applyBorder="1" applyAlignment="1" applyProtection="1">
      <protection hidden="1"/>
    </xf>
    <xf numFmtId="165" fontId="50" fillId="0" borderId="2" xfId="91" applyNumberFormat="1" applyFont="1" applyFill="1" applyBorder="1" applyAlignment="1" applyProtection="1">
      <protection hidden="1"/>
    </xf>
    <xf numFmtId="165" fontId="50" fillId="0" borderId="4" xfId="91" applyNumberFormat="1" applyFont="1" applyFill="1" applyBorder="1" applyAlignment="1" applyProtection="1">
      <protection hidden="1"/>
    </xf>
    <xf numFmtId="1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39" xfId="91" applyFont="1" applyFill="1" applyBorder="1" applyAlignment="1" applyProtection="1">
      <alignment horizontal="left" vertical="top" wrapText="1"/>
      <protection hidden="1"/>
    </xf>
    <xf numFmtId="0" fontId="50" fillId="0" borderId="40" xfId="91" applyFont="1" applyFill="1" applyBorder="1" applyAlignment="1" applyProtection="1">
      <alignment horizontal="center" vertical="center" wrapText="1"/>
      <protection hidden="1"/>
    </xf>
    <xf numFmtId="0" fontId="50" fillId="0" borderId="40" xfId="91" applyFont="1" applyFill="1" applyBorder="1" applyAlignment="1" applyProtection="1">
      <protection hidden="1"/>
    </xf>
    <xf numFmtId="0" fontId="50" fillId="0" borderId="40" xfId="91" applyFont="1" applyFill="1" applyBorder="1" applyAlignment="1" applyProtection="1">
      <protection locked="0" hidden="1"/>
    </xf>
    <xf numFmtId="0" fontId="50" fillId="0" borderId="41" xfId="91" applyFont="1" applyFill="1" applyBorder="1" applyAlignment="1" applyProtection="1">
      <protection locked="0" hidden="1"/>
    </xf>
    <xf numFmtId="0" fontId="50" fillId="0" borderId="2" xfId="91" applyFont="1" applyFill="1" applyBorder="1" applyAlignment="1"/>
    <xf numFmtId="0" fontId="50" fillId="0" borderId="2" xfId="91" applyFont="1" applyFill="1" applyBorder="1" applyAlignment="1">
      <alignment vertical="center"/>
    </xf>
    <xf numFmtId="167" fontId="50" fillId="0" borderId="2" xfId="91" applyNumberFormat="1" applyFont="1" applyFill="1" applyBorder="1" applyAlignment="1">
      <alignment vertical="center"/>
    </xf>
    <xf numFmtId="0" fontId="50" fillId="0" borderId="4" xfId="91" applyFont="1" applyFill="1" applyBorder="1" applyAlignment="1">
      <alignment vertical="center"/>
    </xf>
    <xf numFmtId="0" fontId="54" fillId="0" borderId="0" xfId="91" applyFont="1" applyFill="1" applyBorder="1" applyAlignment="1">
      <alignment horizontal="center" vertical="center"/>
    </xf>
    <xf numFmtId="0" fontId="54" fillId="0" borderId="0" xfId="91" applyFont="1" applyFill="1" applyAlignment="1" applyProtection="1">
      <alignment horizontal="center" vertical="center"/>
      <protection hidden="1"/>
    </xf>
    <xf numFmtId="0" fontId="50" fillId="0" borderId="2" xfId="91" applyFont="1" applyFill="1" applyBorder="1" applyProtection="1">
      <protection hidden="1"/>
    </xf>
    <xf numFmtId="167" fontId="50" fillId="0" borderId="4" xfId="91" applyNumberFormat="1" applyFont="1" applyFill="1" applyBorder="1" applyProtection="1">
      <protection locked="0" hidden="1"/>
    </xf>
    <xf numFmtId="167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49" fillId="0" borderId="4" xfId="91" applyFont="1" applyFill="1" applyBorder="1" applyProtection="1">
      <protection hidden="1"/>
    </xf>
    <xf numFmtId="4" fontId="49" fillId="0" borderId="0" xfId="91" applyNumberFormat="1" applyFont="1" applyFill="1" applyBorder="1" applyAlignment="1" applyProtection="1">
      <alignment horizontal="center" vertical="center"/>
      <protection hidden="1"/>
    </xf>
    <xf numFmtId="4" fontId="50" fillId="0" borderId="2" xfId="91" applyNumberFormat="1" applyFont="1" applyFill="1" applyBorder="1" applyProtection="1">
      <protection locked="0" hidden="1"/>
    </xf>
    <xf numFmtId="4" fontId="50" fillId="0" borderId="4" xfId="91" applyNumberFormat="1" applyFont="1" applyFill="1" applyBorder="1" applyProtection="1">
      <protection locked="0" hidden="1"/>
    </xf>
    <xf numFmtId="4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0" xfId="91" applyNumberFormat="1" applyFont="1" applyFill="1" applyBorder="1" applyProtection="1">
      <protection hidden="1"/>
    </xf>
    <xf numFmtId="175" fontId="50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1" fontId="50" fillId="0" borderId="4" xfId="91" applyNumberFormat="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 vertical="center"/>
      <protection locked="0"/>
    </xf>
    <xf numFmtId="3" fontId="50" fillId="0" borderId="4" xfId="91" applyNumberFormat="1" applyFont="1" applyFill="1" applyBorder="1" applyAlignment="1" applyProtection="1">
      <alignment horizontal="right" vertical="center"/>
      <protection locked="0"/>
    </xf>
    <xf numFmtId="3" fontId="50" fillId="0" borderId="0" xfId="91" applyNumberFormat="1" applyFont="1" applyFill="1" applyBorder="1" applyAlignment="1" applyProtection="1">
      <alignment horizontal="center" vertical="center"/>
      <protection locked="0"/>
    </xf>
    <xf numFmtId="175" fontId="50" fillId="0" borderId="0" xfId="91" applyNumberFormat="1" applyFont="1" applyFill="1" applyBorder="1" applyAlignment="1">
      <alignment horizontal="right" wrapText="1"/>
    </xf>
    <xf numFmtId="3" fontId="50" fillId="0" borderId="0" xfId="91" applyNumberFormat="1" applyFont="1" applyFill="1" applyBorder="1" applyAlignment="1">
      <alignment horizontal="right" wrapText="1"/>
    </xf>
    <xf numFmtId="165" fontId="50" fillId="0" borderId="0" xfId="72" applyNumberFormat="1" applyFont="1" applyFill="1" applyBorder="1" applyAlignment="1" applyProtection="1">
      <alignment horizontal="center" vertical="center" wrapText="1"/>
    </xf>
    <xf numFmtId="165" fontId="8" fillId="0" borderId="0" xfId="72" applyNumberFormat="1" applyFont="1" applyFill="1" applyBorder="1" applyAlignment="1" applyProtection="1">
      <alignment horizontal="center" vertical="center"/>
      <protection locked="0"/>
    </xf>
    <xf numFmtId="165" fontId="50" fillId="0" borderId="0" xfId="72" applyNumberFormat="1" applyFont="1" applyFill="1" applyBorder="1" applyAlignment="1" applyProtection="1">
      <alignment horizontal="center" vertical="center"/>
      <protection locked="0"/>
    </xf>
    <xf numFmtId="49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49" fillId="0" borderId="0" xfId="91" applyNumberFormat="1" applyFont="1" applyFill="1" applyProtection="1">
      <protection hidden="1"/>
    </xf>
    <xf numFmtId="4" fontId="49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hidden="1"/>
    </xf>
    <xf numFmtId="49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4" xfId="91" applyNumberFormat="1" applyFont="1" applyFill="1" applyBorder="1" applyAlignment="1" applyProtection="1">
      <alignment horizontal="right"/>
      <protection locked="0" hidden="1"/>
    </xf>
    <xf numFmtId="4" fontId="50" fillId="0" borderId="0" xfId="91" applyNumberFormat="1" applyFont="1" applyFill="1" applyBorder="1" applyAlignment="1" applyProtection="1">
      <alignment horizontal="left" vertical="center"/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locked="0" hidden="1"/>
    </xf>
    <xf numFmtId="2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0" xfId="91" applyNumberFormat="1" applyFont="1" applyFill="1" applyProtection="1">
      <protection hidden="1"/>
    </xf>
    <xf numFmtId="49" fontId="50" fillId="0" borderId="4" xfId="91" applyNumberFormat="1" applyFont="1" applyFill="1" applyBorder="1" applyAlignment="1" applyProtection="1">
      <alignment horizontal="right"/>
      <protection locked="0" hidden="1"/>
    </xf>
    <xf numFmtId="4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2" fillId="0" borderId="0" xfId="91" applyFont="1" applyFill="1" applyBorder="1" applyAlignment="1" applyProtection="1">
      <alignment horizontal="center" vertical="center" wrapText="1"/>
      <protection hidden="1"/>
    </xf>
    <xf numFmtId="4" fontId="50" fillId="0" borderId="0" xfId="97" applyNumberFormat="1" applyFont="1" applyFill="1" applyProtection="1">
      <protection hidden="1"/>
    </xf>
    <xf numFmtId="1" fontId="38" fillId="0" borderId="2" xfId="91" applyNumberFormat="1" applyFont="1" applyFill="1" applyBorder="1" applyAlignment="1" applyProtection="1">
      <alignment horizontal="right"/>
      <protection locked="0" hidden="1"/>
    </xf>
    <xf numFmtId="1" fontId="38" fillId="0" borderId="4" xfId="91" applyNumberFormat="1" applyFont="1" applyFill="1" applyBorder="1" applyAlignment="1" applyProtection="1">
      <alignment horizontal="right"/>
      <protection locked="0" hidden="1"/>
    </xf>
    <xf numFmtId="1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3" fontId="50" fillId="0" borderId="2" xfId="91" applyNumberFormat="1" applyFont="1" applyFill="1" applyBorder="1" applyAlignment="1" applyProtection="1">
      <alignment horizontal="right"/>
      <protection locked="0" hidden="1"/>
    </xf>
    <xf numFmtId="3" fontId="38" fillId="0" borderId="2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4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top"/>
      <protection hidden="1"/>
    </xf>
    <xf numFmtId="168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13" xfId="91" applyFont="1" applyFill="1" applyBorder="1" applyAlignment="1" applyProtection="1">
      <protection hidden="1"/>
    </xf>
    <xf numFmtId="0" fontId="53" fillId="0" borderId="14" xfId="91" applyFont="1" applyFill="1" applyBorder="1" applyAlignment="1" applyProtection="1">
      <alignment horizontal="center"/>
      <protection hidden="1"/>
    </xf>
    <xf numFmtId="0" fontId="53" fillId="0" borderId="14" xfId="91" applyFont="1" applyFill="1" applyBorder="1" applyProtection="1">
      <protection hidden="1"/>
    </xf>
    <xf numFmtId="0" fontId="53" fillId="0" borderId="15" xfId="91" applyFont="1" applyFill="1" applyBorder="1" applyProtection="1">
      <protection hidden="1"/>
    </xf>
    <xf numFmtId="2" fontId="50" fillId="0" borderId="2" xfId="91" applyNumberFormat="1" applyFont="1" applyFill="1" applyBorder="1" applyAlignment="1">
      <alignment horizontal="right" vertical="top" wrapText="1"/>
    </xf>
    <xf numFmtId="0" fontId="50" fillId="0" borderId="2" xfId="91" applyFont="1" applyFill="1" applyBorder="1" applyAlignment="1">
      <alignment horizontal="right" vertical="top" wrapText="1"/>
    </xf>
    <xf numFmtId="165" fontId="50" fillId="0" borderId="2" xfId="91" applyNumberFormat="1" applyFont="1" applyFill="1" applyBorder="1" applyAlignment="1">
      <alignment horizontal="right" vertical="top" wrapText="1"/>
    </xf>
    <xf numFmtId="165" fontId="50" fillId="0" borderId="4" xfId="91" applyNumberFormat="1" applyFont="1" applyFill="1" applyBorder="1" applyAlignment="1">
      <alignment horizontal="right" vertical="top" wrapText="1"/>
    </xf>
    <xf numFmtId="165" fontId="50" fillId="0" borderId="0" xfId="91" applyNumberFormat="1" applyFont="1" applyFill="1" applyBorder="1" applyAlignment="1">
      <alignment horizontal="center" vertical="center" wrapText="1"/>
    </xf>
    <xf numFmtId="0" fontId="53" fillId="0" borderId="9" xfId="91" applyFont="1" applyFill="1" applyBorder="1" applyAlignment="1" applyProtection="1">
      <protection hidden="1"/>
    </xf>
    <xf numFmtId="4" fontId="50" fillId="0" borderId="10" xfId="91" applyNumberFormat="1" applyFont="1" applyFill="1" applyBorder="1" applyProtection="1">
      <protection hidden="1"/>
    </xf>
    <xf numFmtId="4" fontId="50" fillId="0" borderId="11" xfId="91" applyNumberFormat="1" applyFont="1" applyFill="1" applyBorder="1" applyProtection="1">
      <protection hidden="1"/>
    </xf>
    <xf numFmtId="165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2" xfId="91" applyNumberFormat="1" applyFont="1" applyFill="1" applyBorder="1" applyAlignment="1" applyProtection="1">
      <protection hidden="1"/>
    </xf>
    <xf numFmtId="168" fontId="50" fillId="0" borderId="4" xfId="91" applyNumberFormat="1" applyFont="1" applyFill="1" applyBorder="1" applyAlignment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3" fillId="0" borderId="5" xfId="91" applyFont="1" applyFill="1" applyBorder="1" applyAlignment="1" applyProtection="1">
      <protection hidden="1"/>
    </xf>
    <xf numFmtId="4" fontId="50" fillId="0" borderId="4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vertical="top" wrapText="1"/>
      <protection hidden="1"/>
    </xf>
    <xf numFmtId="0" fontId="50" fillId="0" borderId="2" xfId="91" applyFont="1" applyFill="1" applyBorder="1" applyAlignment="1" applyProtection="1">
      <alignment horizontal="center"/>
      <protection hidden="1"/>
    </xf>
    <xf numFmtId="168" fontId="50" fillId="0" borderId="0" xfId="91" applyNumberFormat="1" applyFont="1" applyFill="1" applyBorder="1" applyProtection="1">
      <protection hidden="1"/>
    </xf>
    <xf numFmtId="170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4" xfId="91" applyNumberFormat="1" applyFont="1" applyFill="1" applyBorder="1" applyAlignment="1" applyProtection="1">
      <alignment horizontal="right"/>
      <protection locked="0" hidden="1"/>
    </xf>
    <xf numFmtId="17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3" fillId="0" borderId="6" xfId="91" applyFont="1" applyFill="1" applyBorder="1" applyAlignment="1" applyProtection="1">
      <protection hidden="1"/>
    </xf>
    <xf numFmtId="4" fontId="53" fillId="0" borderId="40" xfId="91" applyNumberFormat="1" applyFont="1" applyFill="1" applyBorder="1" applyProtection="1">
      <protection hidden="1"/>
    </xf>
    <xf numFmtId="4" fontId="53" fillId="0" borderId="41" xfId="91" applyNumberFormat="1" applyFont="1" applyFill="1" applyBorder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13" xfId="91" applyNumberFormat="1" applyFont="1" applyFill="1" applyBorder="1" applyProtection="1">
      <protection hidden="1"/>
    </xf>
    <xf numFmtId="4" fontId="50" fillId="0" borderId="14" xfId="91" applyNumberFormat="1" applyFont="1" applyFill="1" applyBorder="1" applyProtection="1">
      <protection hidden="1"/>
    </xf>
    <xf numFmtId="4" fontId="50" fillId="0" borderId="15" xfId="91" applyNumberFormat="1" applyFont="1" applyFill="1" applyBorder="1" applyProtection="1">
      <protection hidden="1"/>
    </xf>
    <xf numFmtId="0" fontId="50" fillId="0" borderId="4" xfId="91" applyFont="1" applyFill="1" applyBorder="1" applyAlignment="1" applyProtection="1">
      <alignment horizontal="right"/>
      <protection hidden="1"/>
    </xf>
    <xf numFmtId="0" fontId="50" fillId="0" borderId="6" xfId="91" applyFont="1" applyFill="1" applyBorder="1" applyAlignment="1" applyProtection="1">
      <alignment horizontal="left" vertical="top" wrapText="1"/>
      <protection hidden="1"/>
    </xf>
    <xf numFmtId="0" fontId="50" fillId="0" borderId="7" xfId="91" applyFont="1" applyFill="1" applyBorder="1" applyAlignment="1" applyProtection="1">
      <alignment horizontal="center" vertical="center" wrapText="1"/>
      <protection hidden="1"/>
    </xf>
    <xf numFmtId="168" fontId="50" fillId="0" borderId="7" xfId="91" applyNumberFormat="1" applyFont="1" applyFill="1" applyBorder="1" applyAlignment="1" applyProtection="1">
      <alignment horizontal="right"/>
      <protection locked="0" hidden="1"/>
    </xf>
    <xf numFmtId="168" fontId="50" fillId="0" borderId="8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2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37" fillId="0" borderId="14" xfId="89" applyNumberFormat="1" applyFont="1" applyBorder="1" applyAlignment="1">
      <alignment horizontal="center" vertical="top" wrapText="1"/>
    </xf>
    <xf numFmtId="165" fontId="6" fillId="0" borderId="14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39" fillId="0" borderId="2" xfId="89" applyNumberFormat="1" applyFont="1" applyFill="1" applyBorder="1" applyAlignment="1">
      <alignment horizontal="center" vertical="center" wrapText="1"/>
    </xf>
    <xf numFmtId="0" fontId="37" fillId="0" borderId="0" xfId="89" applyFont="1" applyFill="1"/>
    <xf numFmtId="0" fontId="37" fillId="0" borderId="2" xfId="89" applyFont="1" applyFill="1" applyBorder="1" applyAlignment="1">
      <alignment horizontal="left" vertical="center" wrapText="1" indent="1"/>
    </xf>
    <xf numFmtId="0" fontId="45" fillId="0" borderId="2" xfId="89" applyFont="1" applyFill="1" applyBorder="1" applyAlignment="1">
      <alignment horizontal="center" vertical="center" wrapText="1"/>
    </xf>
    <xf numFmtId="0" fontId="37" fillId="0" borderId="2" xfId="89" applyFont="1" applyFill="1" applyBorder="1"/>
    <xf numFmtId="165" fontId="1" fillId="0" borderId="2" xfId="88" applyNumberFormat="1" applyFont="1" applyBorder="1" applyAlignment="1">
      <alignment horizontal="right" wrapText="1"/>
    </xf>
    <xf numFmtId="165" fontId="1" fillId="0" borderId="2" xfId="98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165" fontId="37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2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wrapText="1"/>
    </xf>
    <xf numFmtId="0" fontId="1" fillId="0" borderId="10" xfId="7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wrapText="1"/>
    </xf>
    <xf numFmtId="165" fontId="6" fillId="0" borderId="10" xfId="0" applyNumberFormat="1" applyFont="1" applyBorder="1" applyAlignment="1">
      <alignment horizontal="right" wrapText="1"/>
    </xf>
    <xf numFmtId="165" fontId="38" fillId="0" borderId="2" xfId="0" applyNumberFormat="1" applyFont="1" applyBorder="1"/>
    <xf numFmtId="165" fontId="46" fillId="0" borderId="2" xfId="0" applyNumberFormat="1" applyFont="1" applyBorder="1"/>
    <xf numFmtId="165" fontId="58" fillId="0" borderId="2" xfId="0" applyNumberFormat="1" applyFont="1" applyBorder="1"/>
    <xf numFmtId="0" fontId="38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41" fillId="0" borderId="0" xfId="0" applyFont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10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/>
    <xf numFmtId="0" fontId="49" fillId="0" borderId="4" xfId="91" applyFont="1" applyFill="1" applyBorder="1" applyAlignment="1"/>
    <xf numFmtId="0" fontId="5" fillId="0" borderId="19" xfId="91" applyFont="1" applyFill="1" applyBorder="1" applyAlignment="1" applyProtection="1">
      <alignment horizontal="center" vertical="top" wrapText="1"/>
      <protection locked="0"/>
    </xf>
    <xf numFmtId="0" fontId="0" fillId="0" borderId="0" xfId="91" applyFont="1" applyFill="1" applyAlignment="1" applyProtection="1">
      <alignment horizontal="center"/>
      <protection hidden="1"/>
    </xf>
    <xf numFmtId="0" fontId="16" fillId="0" borderId="20" xfId="91" applyFont="1" applyFill="1" applyBorder="1" applyAlignment="1" applyProtection="1">
      <alignment horizontal="center" vertical="top" wrapText="1"/>
      <protection hidden="1"/>
    </xf>
    <xf numFmtId="0" fontId="16" fillId="0" borderId="5" xfId="91" applyFont="1" applyFill="1" applyBorder="1" applyAlignment="1" applyProtection="1">
      <alignment horizontal="center" vertical="top" wrapText="1"/>
      <protection hidden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16" fillId="0" borderId="2" xfId="91" applyFont="1" applyFill="1" applyBorder="1" applyAlignment="1" applyProtection="1">
      <alignment horizontal="center" vertical="center"/>
      <protection hidden="1"/>
    </xf>
    <xf numFmtId="0" fontId="49" fillId="0" borderId="3" xfId="91" applyFont="1" applyFill="1" applyBorder="1" applyAlignment="1"/>
    <xf numFmtId="0" fontId="49" fillId="0" borderId="12" xfId="91" applyFont="1" applyFill="1" applyBorder="1" applyAlignment="1"/>
    <xf numFmtId="0" fontId="50" fillId="0" borderId="21" xfId="91" applyFont="1" applyFill="1" applyBorder="1" applyAlignment="1" applyProtection="1">
      <alignment horizontal="left" vertical="center" wrapText="1"/>
      <protection hidden="1"/>
    </xf>
    <xf numFmtId="0" fontId="50" fillId="0" borderId="18" xfId="91" applyFont="1" applyFill="1" applyBorder="1" applyAlignment="1" applyProtection="1">
      <alignment horizontal="left" vertical="center" wrapText="1"/>
      <protection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/>
    <xf numFmtId="0" fontId="50" fillId="0" borderId="4" xfId="91" applyFont="1" applyFill="1" applyBorder="1" applyAlignment="1"/>
    <xf numFmtId="167" fontId="52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/>
    <xf numFmtId="0" fontId="50" fillId="0" borderId="2" xfId="91" applyFont="1" applyFill="1" applyBorder="1" applyAlignment="1">
      <alignment horizontal="left" vertical="top" wrapText="1"/>
    </xf>
    <xf numFmtId="0" fontId="52" fillId="0" borderId="5" xfId="91" applyFont="1" applyFill="1" applyBorder="1" applyAlignment="1" applyProtection="1">
      <alignment vertical="top" wrapText="1"/>
      <protection hidden="1"/>
    </xf>
    <xf numFmtId="0" fontId="50" fillId="0" borderId="42" xfId="91" applyFont="1" applyFill="1" applyBorder="1" applyAlignment="1" applyProtection="1">
      <alignment horizontal="center"/>
      <protection hidden="1"/>
    </xf>
    <xf numFmtId="0" fontId="50" fillId="0" borderId="43" xfId="91" applyFont="1" applyFill="1" applyBorder="1" applyAlignment="1" applyProtection="1">
      <alignment horizontal="center"/>
      <protection hidden="1"/>
    </xf>
    <xf numFmtId="0" fontId="50" fillId="0" borderId="44" xfId="91" applyFont="1" applyFill="1" applyBorder="1" applyAlignment="1" applyProtection="1">
      <alignment horizontal="center"/>
      <protection hidden="1"/>
    </xf>
    <xf numFmtId="0" fontId="55" fillId="0" borderId="2" xfId="91" applyFont="1" applyFill="1" applyBorder="1" applyAlignment="1" applyProtection="1">
      <alignment horizontal="left" vertical="top" wrapText="1"/>
      <protection hidden="1"/>
    </xf>
    <xf numFmtId="0" fontId="56" fillId="0" borderId="2" xfId="91" applyFont="1" applyFill="1" applyBorder="1" applyAlignment="1"/>
    <xf numFmtId="0" fontId="56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4" xfId="91" applyFont="1" applyFill="1" applyBorder="1" applyAlignment="1" applyProtection="1">
      <alignment horizontal="left" vertical="top" wrapText="1"/>
      <protection hidden="1"/>
    </xf>
    <xf numFmtId="0" fontId="37" fillId="0" borderId="20" xfId="89" applyFont="1" applyBorder="1" applyAlignment="1">
      <alignment horizontal="center" vertical="center" wrapText="1"/>
    </xf>
    <xf numFmtId="0" fontId="37" fillId="0" borderId="5" xfId="89" applyFont="1" applyBorder="1" applyAlignment="1">
      <alignment horizontal="center" vertical="center" wrapText="1"/>
    </xf>
    <xf numFmtId="0" fontId="37" fillId="0" borderId="6" xfId="89" applyFont="1" applyBorder="1" applyAlignment="1">
      <alignment horizontal="center" vertical="center" wrapText="1"/>
    </xf>
    <xf numFmtId="0" fontId="37" fillId="0" borderId="3" xfId="89" applyFont="1" applyBorder="1" applyAlignment="1">
      <alignment horizontal="center" vertical="center" wrapText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41" fillId="0" borderId="0" xfId="89" applyFont="1" applyBorder="1" applyAlignment="1">
      <alignment horizontal="center" wrapText="1"/>
    </xf>
    <xf numFmtId="0" fontId="35" fillId="0" borderId="20" xfId="89" applyFont="1" applyBorder="1" applyAlignment="1">
      <alignment horizontal="center" vertical="center" wrapText="1"/>
    </xf>
    <xf numFmtId="0" fontId="35" fillId="0" borderId="6" xfId="89" applyFont="1" applyBorder="1" applyAlignment="1">
      <alignment horizontal="center" vertical="center" wrapText="1"/>
    </xf>
    <xf numFmtId="0" fontId="35" fillId="0" borderId="3" xfId="89" applyFont="1" applyBorder="1" applyAlignment="1">
      <alignment horizontal="center" vertical="center" wrapText="1"/>
    </xf>
    <xf numFmtId="0" fontId="35" fillId="0" borderId="7" xfId="89" applyFont="1" applyBorder="1" applyAlignment="1">
      <alignment horizontal="center" vertical="center" wrapText="1"/>
    </xf>
    <xf numFmtId="0" fontId="35" fillId="0" borderId="45" xfId="89" applyFont="1" applyBorder="1" applyAlignment="1">
      <alignment horizontal="center" vertical="center" wrapText="1"/>
    </xf>
    <xf numFmtId="0" fontId="35" fillId="0" borderId="46" xfId="89" applyFont="1" applyBorder="1" applyAlignment="1">
      <alignment horizontal="center" vertical="center" wrapText="1"/>
    </xf>
    <xf numFmtId="0" fontId="35" fillId="0" borderId="12" xfId="89" applyFont="1" applyBorder="1" applyAlignment="1">
      <alignment horizontal="center" vertical="center" wrapText="1"/>
    </xf>
    <xf numFmtId="0" fontId="10" fillId="0" borderId="0" xfId="89" applyFont="1" applyAlignment="1">
      <alignment horizontal="center" wrapText="1"/>
    </xf>
    <xf numFmtId="0" fontId="48" fillId="0" borderId="2" xfId="89" applyFont="1" applyFill="1" applyBorder="1" applyAlignment="1">
      <alignment vertical="top" wrapText="1"/>
    </xf>
    <xf numFmtId="0" fontId="46" fillId="0" borderId="0" xfId="89" applyFont="1" applyAlignment="1">
      <alignment horizontal="center"/>
    </xf>
    <xf numFmtId="0" fontId="38" fillId="0" borderId="2" xfId="89" applyFont="1" applyFill="1" applyBorder="1" applyAlignment="1">
      <alignment horizontal="center" vertical="top" wrapText="1"/>
    </xf>
    <xf numFmtId="0" fontId="46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41" fillId="0" borderId="0" xfId="89" applyFont="1" applyFill="1" applyAlignment="1">
      <alignment horizontal="center" vertical="center"/>
    </xf>
    <xf numFmtId="0" fontId="5" fillId="0" borderId="2" xfId="88" applyFont="1" applyFill="1" applyBorder="1" applyAlignment="1">
      <alignment vertical="top" wrapText="1"/>
    </xf>
    <xf numFmtId="0" fontId="35" fillId="0" borderId="0" xfId="0" applyFont="1" applyAlignment="1">
      <alignment wrapText="1"/>
    </xf>
  </cellXfs>
  <cellStyles count="104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J12" sqref="J12"/>
    </sheetView>
  </sheetViews>
  <sheetFormatPr defaultRowHeight="1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>
      <c r="A1" s="411" t="s">
        <v>212</v>
      </c>
      <c r="B1" s="411"/>
      <c r="C1" s="411"/>
      <c r="D1" s="411"/>
    </row>
    <row r="2" spans="1:4" s="31" customFormat="1" ht="18.75">
      <c r="A2" s="410" t="s">
        <v>211</v>
      </c>
      <c r="B2" s="410"/>
      <c r="C2" s="410"/>
      <c r="D2" s="410"/>
    </row>
    <row r="3" spans="1:4" s="31" customFormat="1" ht="18.75">
      <c r="A3" s="45"/>
      <c r="B3" s="45"/>
      <c r="C3" s="45"/>
      <c r="D3" s="45"/>
    </row>
    <row r="4" spans="1:4" s="31" customFormat="1" ht="18.75">
      <c r="A4" s="412" t="s">
        <v>203</v>
      </c>
      <c r="B4" s="412"/>
      <c r="C4" s="412"/>
      <c r="D4" s="412"/>
    </row>
    <row r="5" spans="1:4" s="31" customFormat="1" ht="18.75">
      <c r="A5" s="409" t="s">
        <v>193</v>
      </c>
      <c r="B5" s="409"/>
      <c r="C5" s="409" t="s">
        <v>209</v>
      </c>
      <c r="D5" s="409"/>
    </row>
    <row r="6" spans="1:4" s="31" customFormat="1" ht="18.75">
      <c r="A6" s="409" t="s">
        <v>204</v>
      </c>
      <c r="B6" s="409"/>
      <c r="C6" s="409" t="s">
        <v>209</v>
      </c>
      <c r="D6" s="409"/>
    </row>
    <row r="7" spans="1:4" s="31" customFormat="1" ht="18.75">
      <c r="A7" s="409" t="s">
        <v>205</v>
      </c>
      <c r="B7" s="409"/>
      <c r="C7" s="409" t="s">
        <v>209</v>
      </c>
      <c r="D7" s="409"/>
    </row>
    <row r="8" spans="1:4" s="31" customFormat="1" ht="18.75">
      <c r="A8" s="409" t="s">
        <v>206</v>
      </c>
      <c r="B8" s="409"/>
      <c r="C8" s="409" t="s">
        <v>209</v>
      </c>
      <c r="D8" s="409"/>
    </row>
    <row r="9" spans="1:4" s="31" customFormat="1" ht="18.75">
      <c r="A9" s="409" t="s">
        <v>194</v>
      </c>
      <c r="B9" s="409"/>
      <c r="C9" s="409" t="s">
        <v>210</v>
      </c>
      <c r="D9" s="409"/>
    </row>
    <row r="10" spans="1:4" s="31" customFormat="1" ht="18.75">
      <c r="A10" s="409" t="s">
        <v>207</v>
      </c>
      <c r="B10" s="409"/>
      <c r="C10" s="409" t="s">
        <v>195</v>
      </c>
      <c r="D10" s="409"/>
    </row>
    <row r="11" spans="1:4" s="31" customFormat="1" ht="18.75">
      <c r="A11" s="409" t="s">
        <v>208</v>
      </c>
      <c r="B11" s="409"/>
      <c r="C11" s="409" t="s">
        <v>195</v>
      </c>
      <c r="D11" s="409"/>
    </row>
    <row r="12" spans="1:4" s="31" customFormat="1" ht="18.75">
      <c r="A12" s="410"/>
      <c r="B12" s="410"/>
      <c r="C12" s="44"/>
      <c r="D12" s="46"/>
    </row>
    <row r="13" spans="1:4" s="31" customFormat="1" ht="18.75">
      <c r="A13" s="408" t="s">
        <v>198</v>
      </c>
      <c r="B13" s="408"/>
      <c r="C13" s="408"/>
      <c r="D13" s="408"/>
    </row>
    <row r="14" spans="1:4" s="31" customFormat="1" ht="37.5">
      <c r="A14" s="43" t="s">
        <v>197</v>
      </c>
      <c r="B14" s="43" t="s">
        <v>199</v>
      </c>
      <c r="C14" s="47" t="s">
        <v>214</v>
      </c>
      <c r="D14" s="47" t="s">
        <v>196</v>
      </c>
    </row>
    <row r="15" spans="1:4" ht="18.75">
      <c r="A15" s="43" t="s">
        <v>215</v>
      </c>
      <c r="B15" s="43" t="s">
        <v>200</v>
      </c>
      <c r="C15" s="414" t="s">
        <v>213</v>
      </c>
      <c r="D15" s="415"/>
    </row>
    <row r="16" spans="1:4" s="31" customFormat="1"/>
    <row r="17" spans="1:4" ht="18.75">
      <c r="A17" s="408" t="s">
        <v>201</v>
      </c>
      <c r="B17" s="408"/>
      <c r="C17" s="408"/>
      <c r="D17" s="408"/>
    </row>
    <row r="18" spans="1:4" ht="18.75">
      <c r="A18" s="409" t="s">
        <v>205</v>
      </c>
      <c r="B18" s="409"/>
      <c r="C18" s="413" t="s">
        <v>202</v>
      </c>
      <c r="D18" s="413"/>
    </row>
    <row r="19" spans="1:4" ht="18.75">
      <c r="C19" s="42" t="s">
        <v>360</v>
      </c>
      <c r="D19" s="42"/>
    </row>
    <row r="20" spans="1:4" ht="18.75">
      <c r="C20" s="42"/>
      <c r="D20" s="42"/>
    </row>
    <row r="22" spans="1:4" ht="18.75">
      <c r="A22" s="410"/>
      <c r="B22" s="410"/>
    </row>
  </sheetData>
  <mergeCells count="24"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  <mergeCell ref="A17:D17"/>
    <mergeCell ref="A11:B11"/>
    <mergeCell ref="A12:B12"/>
    <mergeCell ref="C5:D5"/>
    <mergeCell ref="C6:D6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opLeftCell="C1" zoomScaleNormal="100" workbookViewId="0">
      <selection activeCell="N111" sqref="N111"/>
    </sheetView>
  </sheetViews>
  <sheetFormatPr defaultRowHeight="15.75"/>
  <cols>
    <col min="1" max="1" width="9.140625" style="1" hidden="1" customWidth="1"/>
    <col min="2" max="2" width="28.28515625" style="1" hidden="1" customWidth="1"/>
    <col min="3" max="3" width="72.28515625" style="1" customWidth="1"/>
    <col min="4" max="5" width="15.5703125" style="1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10" ht="18.75" customHeight="1">
      <c r="C1" s="416" t="s">
        <v>165</v>
      </c>
      <c r="D1" s="416"/>
      <c r="E1" s="416"/>
      <c r="F1" s="416"/>
    </row>
    <row r="2" spans="1:10">
      <c r="B2" s="2"/>
      <c r="C2" s="117"/>
      <c r="D2" s="117"/>
      <c r="E2" s="118"/>
      <c r="F2" s="119" t="s">
        <v>0</v>
      </c>
    </row>
    <row r="3" spans="1:10" ht="63">
      <c r="B3" s="3" t="s">
        <v>1</v>
      </c>
      <c r="C3" s="120" t="s">
        <v>2</v>
      </c>
      <c r="D3" s="120" t="s">
        <v>534</v>
      </c>
      <c r="E3" s="120" t="s">
        <v>535</v>
      </c>
      <c r="F3" s="121" t="s">
        <v>536</v>
      </c>
    </row>
    <row r="4" spans="1:10">
      <c r="B4" s="4" t="s">
        <v>3</v>
      </c>
      <c r="C4" s="122" t="s">
        <v>4</v>
      </c>
      <c r="D4" s="123">
        <f>SUM(D5,D12)</f>
        <v>148948.30000000002</v>
      </c>
      <c r="E4" s="123">
        <f>SUM(E5,E12)</f>
        <v>153021</v>
      </c>
      <c r="F4" s="123">
        <f>SUM(F5,F12)</f>
        <v>156069.39999999997</v>
      </c>
      <c r="J4" s="13"/>
    </row>
    <row r="5" spans="1:10">
      <c r="B5" s="4"/>
      <c r="C5" s="122" t="s">
        <v>5</v>
      </c>
      <c r="D5" s="123">
        <f>SUM(D6,D7,D8,D9,D10,D11)</f>
        <v>131696.80000000002</v>
      </c>
      <c r="E5" s="123">
        <f>SUM(E6,E7,E8,E9,E10,E11)</f>
        <v>145994</v>
      </c>
      <c r="F5" s="123">
        <f>SUM(F6,F7,F8,F9,F10,F11)</f>
        <v>145786.59999999998</v>
      </c>
      <c r="J5" s="13"/>
    </row>
    <row r="6" spans="1:10">
      <c r="B6" s="30" t="s">
        <v>6</v>
      </c>
      <c r="C6" s="124" t="s">
        <v>166</v>
      </c>
      <c r="D6" s="391">
        <v>113350.3</v>
      </c>
      <c r="E6" s="125">
        <v>124799</v>
      </c>
      <c r="F6" s="125">
        <v>123917.3</v>
      </c>
    </row>
    <row r="7" spans="1:10" ht="31.5">
      <c r="B7" s="6" t="s">
        <v>7</v>
      </c>
      <c r="C7" s="124" t="s">
        <v>167</v>
      </c>
      <c r="D7" s="392">
        <v>2941.9</v>
      </c>
      <c r="E7" s="126">
        <v>3033</v>
      </c>
      <c r="F7" s="126">
        <v>3309.3</v>
      </c>
    </row>
    <row r="8" spans="1:10">
      <c r="B8" s="6" t="s">
        <v>8</v>
      </c>
      <c r="C8" s="124" t="s">
        <v>168</v>
      </c>
      <c r="D8" s="392">
        <v>13769.3</v>
      </c>
      <c r="E8" s="126">
        <v>16123</v>
      </c>
      <c r="F8" s="126">
        <v>16317.3</v>
      </c>
    </row>
    <row r="9" spans="1:10">
      <c r="B9" s="9" t="s">
        <v>9</v>
      </c>
      <c r="C9" s="124" t="s">
        <v>169</v>
      </c>
      <c r="D9" s="392">
        <v>1291.4000000000001</v>
      </c>
      <c r="E9" s="126">
        <v>1609</v>
      </c>
      <c r="F9" s="126">
        <v>1693.4</v>
      </c>
    </row>
    <row r="10" spans="1:10">
      <c r="B10" s="6" t="s">
        <v>10</v>
      </c>
      <c r="C10" s="124" t="s">
        <v>170</v>
      </c>
      <c r="D10" s="392">
        <v>318.2</v>
      </c>
      <c r="E10" s="126">
        <v>430</v>
      </c>
      <c r="F10" s="126">
        <v>549.29999999999995</v>
      </c>
    </row>
    <row r="11" spans="1:10" ht="31.5">
      <c r="B11" s="6" t="s">
        <v>158</v>
      </c>
      <c r="C11" s="124" t="s">
        <v>171</v>
      </c>
      <c r="D11" s="392">
        <v>25.7</v>
      </c>
      <c r="E11" s="126">
        <v>0</v>
      </c>
      <c r="F11" s="126">
        <v>0</v>
      </c>
    </row>
    <row r="12" spans="1:10" s="11" customFormat="1">
      <c r="B12" s="5"/>
      <c r="C12" s="12" t="s">
        <v>11</v>
      </c>
      <c r="D12" s="127">
        <f>SUM(D13,D14,D15,D16,D17)</f>
        <v>17251.5</v>
      </c>
      <c r="E12" s="127">
        <f>SUM(E13,E14,E15,E16,E17)</f>
        <v>7027</v>
      </c>
      <c r="F12" s="127">
        <f>SUM(F13,F14,F15,F16,F17)</f>
        <v>10282.799999999999</v>
      </c>
      <c r="G12" s="10"/>
      <c r="H12" s="10"/>
      <c r="I12" s="1"/>
    </row>
    <row r="13" spans="1:10" ht="31.5">
      <c r="B13" s="6" t="s">
        <v>12</v>
      </c>
      <c r="C13" s="124" t="s">
        <v>172</v>
      </c>
      <c r="D13" s="392">
        <v>11793.1</v>
      </c>
      <c r="E13" s="126">
        <v>6500</v>
      </c>
      <c r="F13" s="126">
        <v>12700</v>
      </c>
    </row>
    <row r="14" spans="1:10">
      <c r="B14" s="6" t="s">
        <v>13</v>
      </c>
      <c r="C14" s="124" t="s">
        <v>173</v>
      </c>
      <c r="D14" s="392">
        <v>1399.8</v>
      </c>
      <c r="E14" s="126">
        <v>300</v>
      </c>
      <c r="F14" s="126">
        <v>-6130.5</v>
      </c>
    </row>
    <row r="15" spans="1:10" customFormat="1" ht="16.5" customHeight="1">
      <c r="A15" s="31"/>
      <c r="B15" s="8" t="s">
        <v>14</v>
      </c>
      <c r="C15" s="128" t="s">
        <v>174</v>
      </c>
      <c r="D15" s="392">
        <v>436</v>
      </c>
      <c r="E15" s="126">
        <v>0</v>
      </c>
      <c r="F15" s="126">
        <v>298.3</v>
      </c>
      <c r="I15" s="1"/>
    </row>
    <row r="16" spans="1:10" customFormat="1">
      <c r="A16" s="31"/>
      <c r="B16" s="8" t="s">
        <v>157</v>
      </c>
      <c r="C16" s="128" t="s">
        <v>175</v>
      </c>
      <c r="D16" s="392">
        <v>2561.5</v>
      </c>
      <c r="E16" s="126">
        <v>0</v>
      </c>
      <c r="F16" s="126">
        <v>2111.6999999999998</v>
      </c>
      <c r="I16" s="1"/>
    </row>
    <row r="17" spans="2:6">
      <c r="B17" s="6" t="s">
        <v>15</v>
      </c>
      <c r="C17" s="124" t="s">
        <v>176</v>
      </c>
      <c r="D17" s="392">
        <v>1061.0999999999999</v>
      </c>
      <c r="E17" s="126">
        <v>227</v>
      </c>
      <c r="F17" s="126">
        <v>1303.3</v>
      </c>
    </row>
    <row r="18" spans="2:6">
      <c r="B18" s="5" t="s">
        <v>16</v>
      </c>
      <c r="C18" s="12" t="s">
        <v>17</v>
      </c>
      <c r="D18" s="129">
        <f>SUM(D19,D60:D62)</f>
        <v>1135109.1000000001</v>
      </c>
      <c r="E18" s="129">
        <f>SUM(E19,E60:E62)</f>
        <v>1125852.1000000001</v>
      </c>
      <c r="F18" s="129">
        <f>SUM(F19,F60:F62)</f>
        <v>1238503.4999999998</v>
      </c>
    </row>
    <row r="19" spans="2:6" ht="31.5">
      <c r="B19" s="5" t="s">
        <v>18</v>
      </c>
      <c r="C19" s="130" t="s">
        <v>19</v>
      </c>
      <c r="D19" s="129">
        <f>SUM(D20,D21,D45,D59)</f>
        <v>1135879.5</v>
      </c>
      <c r="E19" s="129">
        <f>SUM(E20,E21,E45,E59)</f>
        <v>1125852.1000000001</v>
      </c>
      <c r="F19" s="129">
        <f>SUM(F20,F21,F45,F59)</f>
        <v>1235870.5</v>
      </c>
    </row>
    <row r="20" spans="2:6" ht="31.5">
      <c r="B20" s="5" t="s">
        <v>20</v>
      </c>
      <c r="C20" s="12" t="s">
        <v>21</v>
      </c>
      <c r="D20" s="127">
        <v>470560.6</v>
      </c>
      <c r="E20" s="127">
        <v>595688.4</v>
      </c>
      <c r="F20" s="127">
        <v>626726.9</v>
      </c>
    </row>
    <row r="21" spans="2:6" ht="31.5">
      <c r="B21" s="5" t="s">
        <v>22</v>
      </c>
      <c r="C21" s="12" t="s">
        <v>23</v>
      </c>
      <c r="D21" s="129">
        <f>SUM(D22:D27)</f>
        <v>198619.1</v>
      </c>
      <c r="E21" s="129">
        <f t="shared" ref="E21:F21" si="0">SUM(E22:E27)</f>
        <v>40684.400000000001</v>
      </c>
      <c r="F21" s="129">
        <f t="shared" si="0"/>
        <v>91101.799999999988</v>
      </c>
    </row>
    <row r="22" spans="2:6" ht="31.5">
      <c r="B22" s="5"/>
      <c r="C22" s="7" t="s">
        <v>361</v>
      </c>
      <c r="D22" s="131">
        <v>117699.6</v>
      </c>
      <c r="E22" s="131">
        <v>0</v>
      </c>
      <c r="F22" s="131">
        <v>0</v>
      </c>
    </row>
    <row r="23" spans="2:6" ht="47.25">
      <c r="B23" s="5"/>
      <c r="C23" s="407" t="s">
        <v>548</v>
      </c>
      <c r="D23" s="131">
        <v>0</v>
      </c>
      <c r="E23" s="131">
        <v>0</v>
      </c>
      <c r="F23" s="131">
        <v>6482.5</v>
      </c>
    </row>
    <row r="24" spans="2:6" ht="47.25">
      <c r="B24" s="5"/>
      <c r="C24" s="407" t="s">
        <v>543</v>
      </c>
      <c r="D24" s="131">
        <v>0</v>
      </c>
      <c r="E24" s="131">
        <v>0</v>
      </c>
      <c r="F24" s="131">
        <v>604.79999999999995</v>
      </c>
    </row>
    <row r="25" spans="2:6" ht="47.25">
      <c r="B25" s="5"/>
      <c r="C25" s="407" t="s">
        <v>549</v>
      </c>
      <c r="D25" s="131">
        <v>0</v>
      </c>
      <c r="E25" s="131">
        <v>0</v>
      </c>
      <c r="F25" s="131">
        <v>344.6</v>
      </c>
    </row>
    <row r="26" spans="2:6" ht="48.75" customHeight="1">
      <c r="B26" s="5"/>
      <c r="C26" s="7" t="s">
        <v>538</v>
      </c>
      <c r="D26" s="131">
        <v>0</v>
      </c>
      <c r="E26" s="131">
        <v>0</v>
      </c>
      <c r="F26" s="131">
        <v>1409</v>
      </c>
    </row>
    <row r="27" spans="2:6">
      <c r="B27" s="6" t="s">
        <v>24</v>
      </c>
      <c r="C27" s="7" t="s">
        <v>25</v>
      </c>
      <c r="D27" s="131">
        <f>SUM(D29:D44)</f>
        <v>80919.5</v>
      </c>
      <c r="E27" s="131">
        <f>SUM(E29:E44)</f>
        <v>40684.400000000001</v>
      </c>
      <c r="F27" s="131">
        <f>SUM(F29:F44)</f>
        <v>82260.899999999994</v>
      </c>
    </row>
    <row r="28" spans="2:6">
      <c r="C28" s="7" t="s">
        <v>26</v>
      </c>
      <c r="D28" s="126"/>
      <c r="E28" s="126"/>
      <c r="F28" s="126"/>
    </row>
    <row r="29" spans="2:6" ht="31.5">
      <c r="B29" s="6"/>
      <c r="C29" s="7" t="s">
        <v>362</v>
      </c>
      <c r="D29" s="126">
        <v>37779.599999999999</v>
      </c>
      <c r="E29" s="126">
        <v>36179.9</v>
      </c>
      <c r="F29" s="131">
        <v>39453.1</v>
      </c>
    </row>
    <row r="30" spans="2:6" ht="32.25" customHeight="1">
      <c r="B30" s="7"/>
      <c r="C30" s="95" t="s">
        <v>28</v>
      </c>
      <c r="D30" s="126">
        <v>4552.5</v>
      </c>
      <c r="E30" s="126">
        <v>0</v>
      </c>
      <c r="F30" s="126">
        <v>5536.3</v>
      </c>
    </row>
    <row r="31" spans="2:6" ht="32.25" customHeight="1">
      <c r="B31" s="7"/>
      <c r="C31" s="95" t="s">
        <v>537</v>
      </c>
      <c r="D31" s="126">
        <v>11543.6</v>
      </c>
      <c r="E31" s="126">
        <v>0</v>
      </c>
      <c r="F31" s="126">
        <v>11534.1</v>
      </c>
    </row>
    <row r="32" spans="2:6">
      <c r="B32" s="7"/>
      <c r="C32" s="95" t="s">
        <v>29</v>
      </c>
      <c r="D32" s="126">
        <v>135</v>
      </c>
      <c r="E32" s="126">
        <v>0</v>
      </c>
      <c r="F32" s="126">
        <v>158.4</v>
      </c>
    </row>
    <row r="33" spans="2:8" ht="31.5">
      <c r="B33" s="7"/>
      <c r="C33" s="95" t="s">
        <v>539</v>
      </c>
      <c r="D33" s="126">
        <v>0</v>
      </c>
      <c r="E33" s="126">
        <v>0</v>
      </c>
      <c r="F33" s="126">
        <v>2114.8000000000002</v>
      </c>
    </row>
    <row r="34" spans="2:8" ht="31.5">
      <c r="B34" s="7"/>
      <c r="C34" s="95" t="s">
        <v>540</v>
      </c>
      <c r="D34" s="126">
        <v>0</v>
      </c>
      <c r="E34" s="126">
        <v>0</v>
      </c>
      <c r="F34" s="126">
        <v>314.10000000000002</v>
      </c>
    </row>
    <row r="35" spans="2:8">
      <c r="B35" s="7"/>
      <c r="C35" s="95" t="s">
        <v>541</v>
      </c>
      <c r="D35" s="126">
        <v>0</v>
      </c>
      <c r="E35" s="126">
        <v>0</v>
      </c>
      <c r="F35" s="126">
        <v>1000</v>
      </c>
    </row>
    <row r="36" spans="2:8" ht="31.5">
      <c r="B36" s="7"/>
      <c r="C36" s="7" t="s">
        <v>27</v>
      </c>
      <c r="D36" s="126">
        <v>3753.8</v>
      </c>
      <c r="E36" s="126">
        <v>4504.5</v>
      </c>
      <c r="F36" s="126">
        <v>4504.5</v>
      </c>
    </row>
    <row r="37" spans="2:8" ht="47.25">
      <c r="B37" s="7"/>
      <c r="C37" s="7" t="s">
        <v>443</v>
      </c>
      <c r="D37" s="126">
        <v>18155</v>
      </c>
      <c r="E37" s="126">
        <v>0</v>
      </c>
      <c r="F37" s="126">
        <v>0</v>
      </c>
    </row>
    <row r="38" spans="2:8" ht="31.5">
      <c r="B38" s="7"/>
      <c r="C38" s="7" t="s">
        <v>444</v>
      </c>
      <c r="D38" s="131">
        <v>5000</v>
      </c>
      <c r="E38" s="126">
        <v>0</v>
      </c>
      <c r="F38" s="126">
        <v>0</v>
      </c>
    </row>
    <row r="39" spans="2:8" ht="31.5">
      <c r="B39" s="7"/>
      <c r="C39" s="7" t="s">
        <v>445</v>
      </c>
      <c r="D39" s="131">
        <v>0</v>
      </c>
      <c r="E39" s="126">
        <v>0</v>
      </c>
      <c r="F39" s="126">
        <v>0</v>
      </c>
    </row>
    <row r="40" spans="2:8" ht="31.5">
      <c r="B40" s="7"/>
      <c r="C40" s="407" t="s">
        <v>544</v>
      </c>
      <c r="D40" s="126">
        <v>0</v>
      </c>
      <c r="E40" s="126">
        <v>0</v>
      </c>
      <c r="F40" s="131">
        <v>8500</v>
      </c>
    </row>
    <row r="41" spans="2:8" ht="31.5">
      <c r="B41" s="7"/>
      <c r="C41" s="407" t="s">
        <v>545</v>
      </c>
      <c r="D41" s="126">
        <v>0</v>
      </c>
      <c r="E41" s="126">
        <v>0</v>
      </c>
      <c r="F41" s="131">
        <v>361</v>
      </c>
    </row>
    <row r="42" spans="2:8" ht="31.5" hidden="1">
      <c r="B42" s="7"/>
      <c r="C42" s="407" t="s">
        <v>546</v>
      </c>
      <c r="D42" s="126">
        <v>0</v>
      </c>
      <c r="E42" s="126">
        <v>0</v>
      </c>
      <c r="F42" s="131">
        <v>0</v>
      </c>
    </row>
    <row r="43" spans="2:8" ht="31.5">
      <c r="B43" s="7"/>
      <c r="C43" s="407" t="s">
        <v>547</v>
      </c>
      <c r="D43" s="131">
        <v>0</v>
      </c>
      <c r="E43" s="126">
        <v>0</v>
      </c>
      <c r="F43" s="131">
        <v>1962.4</v>
      </c>
    </row>
    <row r="44" spans="2:8" ht="31.5">
      <c r="B44" s="7"/>
      <c r="C44" s="407" t="s">
        <v>550</v>
      </c>
      <c r="D44" s="131">
        <v>0</v>
      </c>
      <c r="E44" s="126">
        <v>0</v>
      </c>
      <c r="F44" s="131">
        <v>6822.2</v>
      </c>
    </row>
    <row r="45" spans="2:8" ht="31.5">
      <c r="B45" s="12" t="s">
        <v>30</v>
      </c>
      <c r="C45" s="12" t="s">
        <v>31</v>
      </c>
      <c r="D45" s="127">
        <f>SUM(D46:D49,D50)</f>
        <v>466699.8</v>
      </c>
      <c r="E45" s="127">
        <f>SUM(E46:E49,E50)</f>
        <v>489479.3</v>
      </c>
      <c r="F45" s="127">
        <f>SUM(F46:F49,F50)</f>
        <v>515041.8</v>
      </c>
      <c r="H45" s="13"/>
    </row>
    <row r="46" spans="2:8" ht="78.75">
      <c r="B46" s="7" t="s">
        <v>32</v>
      </c>
      <c r="C46" s="7" t="s">
        <v>363</v>
      </c>
      <c r="D46" s="126">
        <v>1150</v>
      </c>
      <c r="E46" s="133">
        <v>1203.5</v>
      </c>
      <c r="F46" s="133">
        <v>889.9</v>
      </c>
    </row>
    <row r="47" spans="2:8" ht="63">
      <c r="B47" s="7"/>
      <c r="C47" s="96" t="s">
        <v>364</v>
      </c>
      <c r="D47" s="126">
        <v>4063.8</v>
      </c>
      <c r="E47" s="126">
        <v>7393.1</v>
      </c>
      <c r="F47" s="126">
        <v>6469.1</v>
      </c>
    </row>
    <row r="48" spans="2:8" ht="63">
      <c r="B48" s="7"/>
      <c r="C48" s="7" t="s">
        <v>425</v>
      </c>
      <c r="D48" s="126">
        <v>45.4</v>
      </c>
      <c r="E48" s="126">
        <v>9.9</v>
      </c>
      <c r="F48" s="126">
        <v>9.9</v>
      </c>
    </row>
    <row r="49" spans="1:9" ht="31.5">
      <c r="B49" s="7" t="s">
        <v>33</v>
      </c>
      <c r="C49" s="7" t="s">
        <v>424</v>
      </c>
      <c r="D49" s="126">
        <v>1054.4000000000001</v>
      </c>
      <c r="E49" s="126">
        <v>2646.8</v>
      </c>
      <c r="F49" s="126">
        <v>2572.8000000000002</v>
      </c>
    </row>
    <row r="50" spans="1:9">
      <c r="B50" s="7" t="s">
        <v>35</v>
      </c>
      <c r="C50" s="7" t="s">
        <v>34</v>
      </c>
      <c r="D50" s="126">
        <f>SUM(D52:D58)</f>
        <v>460386.2</v>
      </c>
      <c r="E50" s="126">
        <f t="shared" ref="E50:F50" si="1">SUM(E52:E58)</f>
        <v>478226</v>
      </c>
      <c r="F50" s="126">
        <f t="shared" si="1"/>
        <v>505100.1</v>
      </c>
    </row>
    <row r="51" spans="1:9">
      <c r="C51" s="7" t="s">
        <v>26</v>
      </c>
      <c r="D51" s="126"/>
      <c r="E51" s="126"/>
      <c r="F51" s="126"/>
      <c r="H51" s="98"/>
      <c r="I51" s="98"/>
    </row>
    <row r="52" spans="1:9">
      <c r="B52" s="7"/>
      <c r="C52" s="7" t="s">
        <v>36</v>
      </c>
      <c r="D52" s="126">
        <v>215.4</v>
      </c>
      <c r="E52" s="126">
        <v>252.8</v>
      </c>
      <c r="F52" s="126">
        <v>252.8</v>
      </c>
      <c r="H52" s="99"/>
      <c r="I52" s="98"/>
    </row>
    <row r="53" spans="1:9">
      <c r="B53" s="7"/>
      <c r="C53" s="7" t="s">
        <v>38</v>
      </c>
      <c r="D53" s="126">
        <v>113.8</v>
      </c>
      <c r="E53" s="126">
        <v>122.4</v>
      </c>
      <c r="F53" s="126">
        <v>122.4</v>
      </c>
      <c r="H53" s="99"/>
      <c r="I53" s="98"/>
    </row>
    <row r="54" spans="1:9" ht="18.75" customHeight="1">
      <c r="B54" s="7"/>
      <c r="C54" s="7" t="s">
        <v>37</v>
      </c>
      <c r="D54" s="126">
        <v>1575.8</v>
      </c>
      <c r="E54" s="126">
        <v>1664.1</v>
      </c>
      <c r="F54" s="126">
        <v>1818.4</v>
      </c>
      <c r="H54" s="99"/>
      <c r="I54" s="98"/>
    </row>
    <row r="55" spans="1:9" ht="47.25">
      <c r="B55" s="7"/>
      <c r="C55" s="7" t="s">
        <v>365</v>
      </c>
      <c r="D55" s="126">
        <v>5314.2</v>
      </c>
      <c r="E55" s="126">
        <v>5339.7</v>
      </c>
      <c r="F55" s="126">
        <v>5339.7</v>
      </c>
      <c r="H55" s="99"/>
      <c r="I55" s="98"/>
    </row>
    <row r="56" spans="1:9" ht="31.5">
      <c r="B56" s="7"/>
      <c r="C56" s="7" t="s">
        <v>366</v>
      </c>
      <c r="D56" s="126">
        <v>1294.3</v>
      </c>
      <c r="E56" s="126">
        <v>1293.7</v>
      </c>
      <c r="F56" s="126">
        <v>1293.7</v>
      </c>
      <c r="H56" s="99"/>
      <c r="I56" s="98"/>
    </row>
    <row r="57" spans="1:9" ht="31.5">
      <c r="B57" s="7"/>
      <c r="C57" s="7" t="s">
        <v>367</v>
      </c>
      <c r="D57" s="126">
        <v>0</v>
      </c>
      <c r="E57" s="126">
        <v>956</v>
      </c>
      <c r="F57" s="126">
        <v>0</v>
      </c>
      <c r="H57" s="99"/>
      <c r="I57" s="98"/>
    </row>
    <row r="58" spans="1:9" ht="126">
      <c r="B58" s="7"/>
      <c r="C58" s="7" t="s">
        <v>39</v>
      </c>
      <c r="D58" s="126">
        <v>451872.7</v>
      </c>
      <c r="E58" s="126">
        <v>468597.3</v>
      </c>
      <c r="F58" s="126">
        <v>496273.1</v>
      </c>
      <c r="H58" s="99"/>
      <c r="I58" s="98"/>
    </row>
    <row r="59" spans="1:9">
      <c r="B59" s="7"/>
      <c r="C59" s="473" t="s">
        <v>551</v>
      </c>
      <c r="D59" s="127">
        <v>0</v>
      </c>
      <c r="E59" s="127">
        <v>0</v>
      </c>
      <c r="F59" s="127">
        <v>3000</v>
      </c>
      <c r="H59" s="99"/>
      <c r="I59" s="98"/>
    </row>
    <row r="60" spans="1:9" ht="19.5" customHeight="1">
      <c r="B60" s="7"/>
      <c r="C60" s="12" t="s">
        <v>542</v>
      </c>
      <c r="D60" s="127"/>
      <c r="E60" s="127">
        <v>0</v>
      </c>
      <c r="F60" s="127">
        <v>3.4</v>
      </c>
      <c r="H60" s="99"/>
      <c r="I60" s="98"/>
    </row>
    <row r="61" spans="1:9" ht="47.25">
      <c r="B61" s="7"/>
      <c r="C61" s="474" t="s">
        <v>552</v>
      </c>
      <c r="D61" s="127">
        <v>0</v>
      </c>
      <c r="E61" s="127">
        <v>0</v>
      </c>
      <c r="F61" s="127">
        <v>3346.7</v>
      </c>
      <c r="H61" s="99"/>
      <c r="I61" s="98"/>
    </row>
    <row r="62" spans="1:9" customFormat="1" ht="31.5">
      <c r="A62" s="31"/>
      <c r="B62" s="14" t="s">
        <v>40</v>
      </c>
      <c r="C62" s="97" t="s">
        <v>177</v>
      </c>
      <c r="D62" s="127">
        <v>-770.4</v>
      </c>
      <c r="E62" s="127">
        <v>0</v>
      </c>
      <c r="F62" s="127">
        <v>-717.1</v>
      </c>
      <c r="I62" s="1"/>
    </row>
    <row r="63" spans="1:9">
      <c r="B63" s="12" t="s">
        <v>41</v>
      </c>
      <c r="C63" s="12"/>
      <c r="D63" s="129">
        <f>SUM(D4,D18)</f>
        <v>1284057.4000000001</v>
      </c>
      <c r="E63" s="129">
        <f>SUM(E4,E18)</f>
        <v>1278873.1000000001</v>
      </c>
      <c r="F63" s="129">
        <f>SUM(F4,F18)</f>
        <v>1394572.8999999997</v>
      </c>
    </row>
    <row r="64" spans="1:9">
      <c r="C64" s="118"/>
      <c r="D64" s="118"/>
      <c r="E64" s="118"/>
      <c r="F64" s="118"/>
    </row>
    <row r="65" spans="1:6" ht="39" customHeight="1">
      <c r="A65" s="31"/>
      <c r="B65" s="37"/>
      <c r="C65" s="417" t="s">
        <v>164</v>
      </c>
      <c r="D65" s="417"/>
      <c r="E65" s="417"/>
      <c r="F65" s="417"/>
    </row>
    <row r="66" spans="1:6">
      <c r="A66" s="31"/>
      <c r="B66" s="31"/>
      <c r="C66" s="134"/>
      <c r="D66" s="134"/>
      <c r="E66" s="134"/>
      <c r="F66" s="135" t="s">
        <v>42</v>
      </c>
    </row>
    <row r="67" spans="1:6" ht="63">
      <c r="A67" s="31"/>
      <c r="B67" s="31"/>
      <c r="C67" s="39" t="s">
        <v>163</v>
      </c>
      <c r="D67" s="120" t="s">
        <v>534</v>
      </c>
      <c r="E67" s="120" t="s">
        <v>535</v>
      </c>
      <c r="F67" s="121" t="s">
        <v>536</v>
      </c>
    </row>
    <row r="68" spans="1:6">
      <c r="A68" s="36" t="s">
        <v>46</v>
      </c>
      <c r="B68" s="36" t="s">
        <v>47</v>
      </c>
      <c r="C68" s="20" t="s">
        <v>45</v>
      </c>
      <c r="D68" s="136">
        <f>SUM(D69:D76)</f>
        <v>154447.20000000001</v>
      </c>
      <c r="E68" s="136">
        <f>SUM(E69:E76)</f>
        <v>172129.89999999997</v>
      </c>
      <c r="F68" s="136">
        <f>SUM(F69:F76)</f>
        <v>210676.30000000002</v>
      </c>
    </row>
    <row r="69" spans="1:6" ht="31.5">
      <c r="A69" s="35" t="s">
        <v>46</v>
      </c>
      <c r="B69" s="35" t="s">
        <v>49</v>
      </c>
      <c r="C69" s="34" t="s">
        <v>48</v>
      </c>
      <c r="D69" s="137">
        <v>5131.4000000000005</v>
      </c>
      <c r="E69" s="137">
        <v>4414.8999999999996</v>
      </c>
      <c r="F69" s="137">
        <v>5577.5</v>
      </c>
    </row>
    <row r="70" spans="1:6" ht="47.25">
      <c r="A70" s="35" t="s">
        <v>46</v>
      </c>
      <c r="B70" s="35" t="s">
        <v>63</v>
      </c>
      <c r="C70" s="34" t="s">
        <v>115</v>
      </c>
      <c r="D70" s="137">
        <v>29.5</v>
      </c>
      <c r="E70" s="137">
        <v>50</v>
      </c>
      <c r="F70" s="137">
        <v>0</v>
      </c>
    </row>
    <row r="71" spans="1:6" ht="47.25">
      <c r="A71" s="35" t="s">
        <v>46</v>
      </c>
      <c r="B71" s="35" t="s">
        <v>53</v>
      </c>
      <c r="C71" s="34" t="s">
        <v>52</v>
      </c>
      <c r="D71" s="137">
        <v>95323.400000000009</v>
      </c>
      <c r="E71" s="137">
        <v>94610.1</v>
      </c>
      <c r="F71" s="137">
        <v>87164.3</v>
      </c>
    </row>
    <row r="72" spans="1:6">
      <c r="A72" s="35" t="s">
        <v>46</v>
      </c>
      <c r="B72" s="35" t="s">
        <v>56</v>
      </c>
      <c r="C72" s="33" t="s">
        <v>55</v>
      </c>
      <c r="D72" s="137">
        <v>45.4</v>
      </c>
      <c r="E72" s="137">
        <v>9.9</v>
      </c>
      <c r="F72" s="137">
        <v>9.9</v>
      </c>
    </row>
    <row r="73" spans="1:6" ht="31.5">
      <c r="A73" s="35" t="s">
        <v>46</v>
      </c>
      <c r="B73" s="35" t="s">
        <v>91</v>
      </c>
      <c r="C73" s="34" t="s">
        <v>90</v>
      </c>
      <c r="D73" s="137">
        <v>34085.4</v>
      </c>
      <c r="E73" s="137">
        <v>41492.699999999997</v>
      </c>
      <c r="F73" s="137">
        <v>40910</v>
      </c>
    </row>
    <row r="74" spans="1:6">
      <c r="A74" s="35" t="s">
        <v>46</v>
      </c>
      <c r="B74" s="35" t="s">
        <v>100</v>
      </c>
      <c r="C74" s="34" t="s">
        <v>118</v>
      </c>
      <c r="D74" s="137">
        <v>5095.6000000000004</v>
      </c>
      <c r="E74" s="137">
        <v>3674.3</v>
      </c>
      <c r="F74" s="137">
        <v>3657.9</v>
      </c>
    </row>
    <row r="75" spans="1:6">
      <c r="A75" s="35" t="s">
        <v>46</v>
      </c>
      <c r="B75" s="35" t="s">
        <v>93</v>
      </c>
      <c r="C75" s="34" t="s">
        <v>92</v>
      </c>
      <c r="D75" s="137">
        <v>0</v>
      </c>
      <c r="E75" s="137">
        <v>12878</v>
      </c>
      <c r="F75" s="137">
        <v>3.2</v>
      </c>
    </row>
    <row r="76" spans="1:6">
      <c r="A76" s="35" t="s">
        <v>46</v>
      </c>
      <c r="B76" s="35" t="s">
        <v>60</v>
      </c>
      <c r="C76" s="34" t="s">
        <v>59</v>
      </c>
      <c r="D76" s="137">
        <v>14736.5</v>
      </c>
      <c r="E76" s="137">
        <v>15000</v>
      </c>
      <c r="F76" s="137">
        <v>73353.5</v>
      </c>
    </row>
    <row r="77" spans="1:6">
      <c r="A77" s="36" t="s">
        <v>63</v>
      </c>
      <c r="B77" s="36" t="s">
        <v>47</v>
      </c>
      <c r="C77" s="102" t="s">
        <v>65</v>
      </c>
      <c r="D77" s="136">
        <f>SUM(D78:D81)</f>
        <v>8793.5</v>
      </c>
      <c r="E77" s="136">
        <f>SUM(E78:E81)</f>
        <v>10730.7</v>
      </c>
      <c r="F77" s="136">
        <f>SUM(F78:F81)</f>
        <v>12407.099999999999</v>
      </c>
    </row>
    <row r="78" spans="1:6">
      <c r="A78" s="35" t="s">
        <v>63</v>
      </c>
      <c r="B78" s="35" t="s">
        <v>53</v>
      </c>
      <c r="C78" s="33" t="s">
        <v>66</v>
      </c>
      <c r="D78" s="137">
        <v>1950.4</v>
      </c>
      <c r="E78" s="137">
        <v>2646.8</v>
      </c>
      <c r="F78" s="137">
        <v>2625.9</v>
      </c>
    </row>
    <row r="79" spans="1:6" ht="31.5">
      <c r="A79" s="35" t="s">
        <v>63</v>
      </c>
      <c r="B79" s="35" t="s">
        <v>76</v>
      </c>
      <c r="C79" s="33" t="s">
        <v>160</v>
      </c>
      <c r="D79" s="137">
        <v>4743.5999999999995</v>
      </c>
      <c r="E79" s="137">
        <v>6048.9</v>
      </c>
      <c r="F79" s="137">
        <v>7726.9</v>
      </c>
    </row>
    <row r="80" spans="1:6">
      <c r="A80" s="35" t="s">
        <v>63</v>
      </c>
      <c r="B80" s="35" t="s">
        <v>68</v>
      </c>
      <c r="C80" s="33" t="s">
        <v>67</v>
      </c>
      <c r="D80" s="137">
        <v>2094.5</v>
      </c>
      <c r="E80" s="137">
        <v>1925</v>
      </c>
      <c r="F80" s="137">
        <v>1944.3</v>
      </c>
    </row>
    <row r="81" spans="1:6" ht="31.5">
      <c r="A81" s="35" t="s">
        <v>63</v>
      </c>
      <c r="B81" s="35" t="s">
        <v>159</v>
      </c>
      <c r="C81" s="33" t="s">
        <v>69</v>
      </c>
      <c r="D81" s="137">
        <v>5</v>
      </c>
      <c r="E81" s="137">
        <v>110</v>
      </c>
      <c r="F81" s="137">
        <v>110</v>
      </c>
    </row>
    <row r="82" spans="1:6">
      <c r="A82" s="36" t="s">
        <v>53</v>
      </c>
      <c r="B82" s="36" t="s">
        <v>47</v>
      </c>
      <c r="C82" s="20" t="s">
        <v>70</v>
      </c>
      <c r="D82" s="136">
        <f>SUM(D83:D85)</f>
        <v>85157.200000000012</v>
      </c>
      <c r="E82" s="136">
        <f>SUM(E83:E85)</f>
        <v>70175</v>
      </c>
      <c r="F82" s="136">
        <f>SUM(F83:F85)</f>
        <v>90700.2</v>
      </c>
    </row>
    <row r="83" spans="1:6">
      <c r="A83" s="35" t="s">
        <v>53</v>
      </c>
      <c r="B83" s="35" t="s">
        <v>73</v>
      </c>
      <c r="C83" s="33" t="s">
        <v>72</v>
      </c>
      <c r="D83" s="137">
        <v>10526.6</v>
      </c>
      <c r="E83" s="137">
        <v>13118.3</v>
      </c>
      <c r="F83" s="393">
        <v>13598.3</v>
      </c>
    </row>
    <row r="84" spans="1:6">
      <c r="A84" s="35" t="s">
        <v>53</v>
      </c>
      <c r="B84" s="35" t="s">
        <v>76</v>
      </c>
      <c r="C84" s="34" t="s">
        <v>75</v>
      </c>
      <c r="D84" s="137">
        <v>16060.2</v>
      </c>
      <c r="E84" s="137">
        <v>19911.3</v>
      </c>
      <c r="F84" s="393">
        <v>19281.3</v>
      </c>
    </row>
    <row r="85" spans="1:6">
      <c r="A85" s="35" t="s">
        <v>53</v>
      </c>
      <c r="B85" s="35" t="s">
        <v>79</v>
      </c>
      <c r="C85" s="33" t="s">
        <v>78</v>
      </c>
      <c r="D85" s="137">
        <v>58570.400000000001</v>
      </c>
      <c r="E85" s="137">
        <v>37145.4</v>
      </c>
      <c r="F85" s="393">
        <v>57820.6</v>
      </c>
    </row>
    <row r="86" spans="1:6">
      <c r="A86" s="36" t="s">
        <v>56</v>
      </c>
      <c r="B86" s="36" t="s">
        <v>47</v>
      </c>
      <c r="C86" s="20" t="s">
        <v>81</v>
      </c>
      <c r="D86" s="136">
        <f>SUM(D87:D90)</f>
        <v>250380.7</v>
      </c>
      <c r="E86" s="136">
        <f>SUM(E87:E90)</f>
        <v>158102</v>
      </c>
      <c r="F86" s="136">
        <f>SUM(F87:F90)</f>
        <v>185436.79999999999</v>
      </c>
    </row>
    <row r="87" spans="1:6">
      <c r="A87" s="35" t="s">
        <v>56</v>
      </c>
      <c r="B87" s="35" t="s">
        <v>46</v>
      </c>
      <c r="C87" s="34" t="s">
        <v>82</v>
      </c>
      <c r="D87" s="137">
        <v>164353.20000000001</v>
      </c>
      <c r="E87" s="137">
        <v>32464</v>
      </c>
      <c r="F87" s="393">
        <v>31673.5</v>
      </c>
    </row>
    <row r="88" spans="1:6">
      <c r="A88" s="35" t="s">
        <v>56</v>
      </c>
      <c r="B88" s="35" t="s">
        <v>49</v>
      </c>
      <c r="C88" s="34" t="s">
        <v>83</v>
      </c>
      <c r="D88" s="137">
        <v>58373</v>
      </c>
      <c r="E88" s="137">
        <v>40546.1</v>
      </c>
      <c r="F88" s="393">
        <v>81648.7</v>
      </c>
    </row>
    <row r="89" spans="1:6">
      <c r="A89" s="35" t="s">
        <v>56</v>
      </c>
      <c r="B89" s="35" t="s">
        <v>63</v>
      </c>
      <c r="C89" s="34" t="s">
        <v>86</v>
      </c>
      <c r="D89" s="137">
        <v>23443.5</v>
      </c>
      <c r="E89" s="137">
        <v>81660.2</v>
      </c>
      <c r="F89" s="393">
        <v>66149.600000000006</v>
      </c>
    </row>
    <row r="90" spans="1:6">
      <c r="A90" s="35" t="s">
        <v>56</v>
      </c>
      <c r="B90" s="35" t="s">
        <v>56</v>
      </c>
      <c r="C90" s="34" t="s">
        <v>87</v>
      </c>
      <c r="D90" s="137">
        <v>4211</v>
      </c>
      <c r="E90" s="137">
        <v>3431.7</v>
      </c>
      <c r="F90" s="393">
        <v>5965</v>
      </c>
    </row>
    <row r="91" spans="1:6">
      <c r="A91" s="36" t="s">
        <v>100</v>
      </c>
      <c r="B91" s="36" t="s">
        <v>47</v>
      </c>
      <c r="C91" s="20" t="s">
        <v>99</v>
      </c>
      <c r="D91" s="136">
        <v>617358.6</v>
      </c>
      <c r="E91" s="136">
        <f>SUM(E92:E96)</f>
        <v>649240.29999999993</v>
      </c>
      <c r="F91" s="136">
        <f>SUM(F92:F96)</f>
        <v>695754.5</v>
      </c>
    </row>
    <row r="92" spans="1:6">
      <c r="A92" s="35" t="s">
        <v>100</v>
      </c>
      <c r="B92" s="35" t="s">
        <v>46</v>
      </c>
      <c r="C92" s="34" t="s">
        <v>101</v>
      </c>
      <c r="D92" s="137">
        <v>62838.5</v>
      </c>
      <c r="E92" s="137">
        <v>70660.2</v>
      </c>
      <c r="F92" s="393">
        <v>67093.7</v>
      </c>
    </row>
    <row r="93" spans="1:6">
      <c r="A93" s="35" t="s">
        <v>100</v>
      </c>
      <c r="B93" s="35" t="s">
        <v>49</v>
      </c>
      <c r="C93" s="34" t="s">
        <v>102</v>
      </c>
      <c r="D93" s="137">
        <v>453508.3</v>
      </c>
      <c r="E93" s="137">
        <v>472668</v>
      </c>
      <c r="F93" s="393">
        <v>509491.20000000001</v>
      </c>
    </row>
    <row r="94" spans="1:6">
      <c r="A94" s="35" t="s">
        <v>100</v>
      </c>
      <c r="B94" s="35" t="s">
        <v>63</v>
      </c>
      <c r="C94" s="34" t="s">
        <v>161</v>
      </c>
      <c r="D94" s="137">
        <v>85542.9</v>
      </c>
      <c r="E94" s="137">
        <v>86001.4</v>
      </c>
      <c r="F94" s="393">
        <v>87216.8</v>
      </c>
    </row>
    <row r="95" spans="1:6">
      <c r="A95" s="35" t="s">
        <v>100</v>
      </c>
      <c r="B95" s="35" t="s">
        <v>100</v>
      </c>
      <c r="C95" s="34" t="s">
        <v>553</v>
      </c>
      <c r="D95" s="137">
        <v>9934.3000000000011</v>
      </c>
      <c r="E95" s="137">
        <v>14171</v>
      </c>
      <c r="F95" s="393">
        <v>15792.2</v>
      </c>
    </row>
    <row r="96" spans="1:6">
      <c r="A96" s="35" t="s">
        <v>100</v>
      </c>
      <c r="B96" s="35" t="s">
        <v>76</v>
      </c>
      <c r="C96" s="34" t="s">
        <v>103</v>
      </c>
      <c r="D96" s="137">
        <v>5534.6</v>
      </c>
      <c r="E96" s="137">
        <v>5739.7</v>
      </c>
      <c r="F96" s="393">
        <v>16160.6</v>
      </c>
    </row>
    <row r="97" spans="1:6">
      <c r="A97" s="36" t="s">
        <v>73</v>
      </c>
      <c r="B97" s="36" t="s">
        <v>47</v>
      </c>
      <c r="C97" s="20" t="s">
        <v>104</v>
      </c>
      <c r="D97" s="136">
        <v>102219.1</v>
      </c>
      <c r="E97" s="136">
        <f>SUM(E98)</f>
        <v>114239</v>
      </c>
      <c r="F97" s="136">
        <f>SUM(F98)</f>
        <v>115431.4</v>
      </c>
    </row>
    <row r="98" spans="1:6">
      <c r="A98" s="35" t="s">
        <v>73</v>
      </c>
      <c r="B98" s="35" t="s">
        <v>46</v>
      </c>
      <c r="C98" s="34" t="s">
        <v>105</v>
      </c>
      <c r="D98" s="137">
        <v>102219.1</v>
      </c>
      <c r="E98" s="137">
        <v>114239</v>
      </c>
      <c r="F98" s="137">
        <v>115431.4</v>
      </c>
    </row>
    <row r="99" spans="1:6">
      <c r="A99" s="35"/>
      <c r="B99" s="35"/>
      <c r="C99" s="102" t="s">
        <v>426</v>
      </c>
      <c r="D99" s="136">
        <f>SUM(D100)</f>
        <v>0</v>
      </c>
      <c r="E99" s="136">
        <f>SUM(E100)</f>
        <v>956</v>
      </c>
      <c r="F99" s="136">
        <f>SUM(F100)</f>
        <v>0</v>
      </c>
    </row>
    <row r="100" spans="1:6">
      <c r="A100" s="35"/>
      <c r="B100" s="35"/>
      <c r="C100" s="34" t="s">
        <v>427</v>
      </c>
      <c r="D100" s="137">
        <v>0</v>
      </c>
      <c r="E100" s="137">
        <v>956</v>
      </c>
      <c r="F100" s="137">
        <v>0</v>
      </c>
    </row>
    <row r="101" spans="1:6">
      <c r="A101" s="36" t="s">
        <v>68</v>
      </c>
      <c r="B101" s="36" t="s">
        <v>47</v>
      </c>
      <c r="C101" s="26" t="s">
        <v>88</v>
      </c>
      <c r="D101" s="136">
        <f>SUM(D102:D105)</f>
        <v>60885.4</v>
      </c>
      <c r="E101" s="136">
        <f>SUM(E102:E105)</f>
        <v>63712.6</v>
      </c>
      <c r="F101" s="136">
        <f>SUM(F102:F105)</f>
        <v>58102</v>
      </c>
    </row>
    <row r="102" spans="1:6">
      <c r="A102" s="35" t="s">
        <v>68</v>
      </c>
      <c r="B102" s="35" t="s">
        <v>46</v>
      </c>
      <c r="C102" s="34" t="s">
        <v>97</v>
      </c>
      <c r="D102" s="395">
        <v>9827.6</v>
      </c>
      <c r="E102" s="137">
        <v>10200</v>
      </c>
      <c r="F102" s="393">
        <v>10200</v>
      </c>
    </row>
    <row r="103" spans="1:6">
      <c r="A103" s="35" t="s">
        <v>68</v>
      </c>
      <c r="B103" s="35" t="s">
        <v>63</v>
      </c>
      <c r="C103" s="21" t="s">
        <v>89</v>
      </c>
      <c r="D103" s="395">
        <v>2151.1</v>
      </c>
      <c r="E103" s="137">
        <v>0</v>
      </c>
      <c r="F103" s="393">
        <v>2150</v>
      </c>
    </row>
    <row r="104" spans="1:6">
      <c r="A104" s="35" t="s">
        <v>68</v>
      </c>
      <c r="B104" s="35" t="s">
        <v>53</v>
      </c>
      <c r="C104" s="33" t="s">
        <v>106</v>
      </c>
      <c r="D104" s="395">
        <v>4896.1000000000004</v>
      </c>
      <c r="E104" s="137">
        <v>8596.6</v>
      </c>
      <c r="F104" s="393">
        <v>7359</v>
      </c>
    </row>
    <row r="105" spans="1:6">
      <c r="A105" s="35" t="s">
        <v>68</v>
      </c>
      <c r="B105" s="35" t="s">
        <v>91</v>
      </c>
      <c r="C105" s="34" t="s">
        <v>107</v>
      </c>
      <c r="D105" s="395">
        <v>44010.6</v>
      </c>
      <c r="E105" s="137">
        <v>44916</v>
      </c>
      <c r="F105" s="394">
        <v>38393</v>
      </c>
    </row>
    <row r="106" spans="1:6">
      <c r="A106" s="36" t="s">
        <v>93</v>
      </c>
      <c r="B106" s="36" t="s">
        <v>47</v>
      </c>
      <c r="C106" s="20" t="s">
        <v>109</v>
      </c>
      <c r="D106" s="136">
        <f>SUM(D107:D108)</f>
        <v>24636</v>
      </c>
      <c r="E106" s="136">
        <f>SUM(E107:E108)</f>
        <v>24587.599999999999</v>
      </c>
      <c r="F106" s="136">
        <f>SUM(F107:F108)</f>
        <v>30094.100000000002</v>
      </c>
    </row>
    <row r="107" spans="1:6">
      <c r="A107" s="35" t="s">
        <v>93</v>
      </c>
      <c r="B107" s="35" t="s">
        <v>46</v>
      </c>
      <c r="C107" s="34" t="s">
        <v>110</v>
      </c>
      <c r="D107" s="395">
        <v>21211.5</v>
      </c>
      <c r="E107" s="137">
        <v>23430</v>
      </c>
      <c r="F107" s="393">
        <v>26667.200000000001</v>
      </c>
    </row>
    <row r="108" spans="1:6">
      <c r="A108" s="35" t="s">
        <v>93</v>
      </c>
      <c r="B108" s="35" t="s">
        <v>49</v>
      </c>
      <c r="C108" s="34" t="s">
        <v>113</v>
      </c>
      <c r="D108" s="395">
        <v>3424.5</v>
      </c>
      <c r="E108" s="137">
        <v>1157.5999999999999</v>
      </c>
      <c r="F108" s="393">
        <v>3426.9</v>
      </c>
    </row>
    <row r="109" spans="1:6">
      <c r="A109" s="35"/>
      <c r="B109" s="35"/>
      <c r="C109" s="20" t="s">
        <v>162</v>
      </c>
      <c r="D109" s="136">
        <f>D68+D77+D82+D86+D91+D97+D99+D101+D106</f>
        <v>1303877.7</v>
      </c>
      <c r="E109" s="136">
        <f>E68+E77+E82+E86+E91+E97+E99+E101+E106</f>
        <v>1263873.1000000001</v>
      </c>
      <c r="F109" s="141">
        <f>F68+F77+F82+F86+F91+F97+F99+F101+F106</f>
        <v>1398602.4</v>
      </c>
    </row>
    <row r="110" spans="1:6">
      <c r="C110" s="118"/>
      <c r="D110" s="41"/>
      <c r="E110" s="118"/>
      <c r="F110" s="118"/>
    </row>
    <row r="111" spans="1:6" ht="18.75" customHeight="1">
      <c r="C111" s="418" t="s">
        <v>178</v>
      </c>
      <c r="D111" s="418"/>
      <c r="E111" s="418"/>
      <c r="F111" s="418"/>
    </row>
    <row r="112" spans="1:6">
      <c r="C112" s="118"/>
      <c r="D112" s="118"/>
      <c r="E112" s="118"/>
      <c r="F112" s="135" t="s">
        <v>42</v>
      </c>
    </row>
    <row r="113" spans="2:7" ht="63">
      <c r="C113" s="39" t="s">
        <v>163</v>
      </c>
      <c r="D113" s="120" t="s">
        <v>534</v>
      </c>
      <c r="E113" s="120" t="s">
        <v>535</v>
      </c>
      <c r="F113" s="121" t="s">
        <v>536</v>
      </c>
    </row>
    <row r="114" spans="2:7" ht="31.5" customHeight="1">
      <c r="B114" s="32" t="s">
        <v>186</v>
      </c>
      <c r="C114" s="97" t="s">
        <v>179</v>
      </c>
      <c r="D114" s="138">
        <f>SUM(D115,D118)</f>
        <v>19820.300000000047</v>
      </c>
      <c r="E114" s="138">
        <f>SUM(E115,E118)</f>
        <v>-15000</v>
      </c>
      <c r="F114" s="138">
        <f>SUM(F115,F118)</f>
        <v>4029.5</v>
      </c>
    </row>
    <row r="115" spans="2:7" ht="31.5" customHeight="1">
      <c r="B115" s="32" t="s">
        <v>187</v>
      </c>
      <c r="C115" s="97" t="s">
        <v>180</v>
      </c>
      <c r="D115" s="138">
        <f>SUM(D116,D117)</f>
        <v>15000</v>
      </c>
      <c r="E115" s="138">
        <f>SUM(E116,E117)</f>
        <v>-15000</v>
      </c>
      <c r="F115" s="138">
        <f>SUM(F116,F117)</f>
        <v>0</v>
      </c>
    </row>
    <row r="116" spans="2:7" ht="31.5" customHeight="1">
      <c r="B116" s="40" t="s">
        <v>188</v>
      </c>
      <c r="C116" s="139" t="s">
        <v>181</v>
      </c>
      <c r="D116" s="396">
        <v>15000</v>
      </c>
      <c r="E116" s="140">
        <v>0</v>
      </c>
      <c r="F116" s="140">
        <v>0</v>
      </c>
    </row>
    <row r="117" spans="2:7" ht="47.25">
      <c r="B117" s="40" t="s">
        <v>189</v>
      </c>
      <c r="C117" s="139" t="s">
        <v>182</v>
      </c>
      <c r="D117" s="396">
        <v>0</v>
      </c>
      <c r="E117" s="140">
        <v>-15000</v>
      </c>
      <c r="F117" s="140">
        <v>0</v>
      </c>
    </row>
    <row r="118" spans="2:7" ht="19.5" customHeight="1">
      <c r="B118" s="32" t="s">
        <v>190</v>
      </c>
      <c r="C118" s="97" t="s">
        <v>183</v>
      </c>
      <c r="D118" s="397">
        <f>SUM(D119,D120)</f>
        <v>4820.3000000000466</v>
      </c>
      <c r="E118" s="141">
        <f>SUM(E119,E120)</f>
        <v>0</v>
      </c>
      <c r="F118" s="141">
        <f>SUM(F119,F120)</f>
        <v>4029.5</v>
      </c>
    </row>
    <row r="119" spans="2:7" ht="19.5" customHeight="1">
      <c r="B119" s="32" t="s">
        <v>191</v>
      </c>
      <c r="C119" s="132" t="s">
        <v>184</v>
      </c>
      <c r="D119" s="142">
        <v>-1331342.7</v>
      </c>
      <c r="E119" s="142">
        <v>-1278873.1000000001</v>
      </c>
      <c r="F119" s="142">
        <v>-1394572.9</v>
      </c>
      <c r="G119" s="13"/>
    </row>
    <row r="120" spans="2:7" ht="20.25" customHeight="1">
      <c r="B120" s="32" t="s">
        <v>192</v>
      </c>
      <c r="C120" s="132" t="s">
        <v>185</v>
      </c>
      <c r="D120" s="142">
        <v>1336163</v>
      </c>
      <c r="E120" s="142">
        <v>1278873.1000000001</v>
      </c>
      <c r="F120" s="142">
        <v>1398602.4</v>
      </c>
      <c r="G120" s="13"/>
    </row>
    <row r="121" spans="2:7" ht="15.75" customHeight="1"/>
    <row r="122" spans="2:7">
      <c r="C122" s="38"/>
    </row>
  </sheetData>
  <mergeCells count="3">
    <mergeCell ref="C1:F1"/>
    <mergeCell ref="C65:F65"/>
    <mergeCell ref="C111:F111"/>
  </mergeCells>
  <pageMargins left="0.78740157480314965" right="0.31496062992125984" top="0.39" bottom="0.39" header="0.31496062992125984" footer="0.31496062992125984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Zeros="0" tabSelected="1" zoomScale="80" zoomScaleNormal="80" workbookViewId="0">
      <selection activeCell="D37" sqref="D37"/>
    </sheetView>
  </sheetViews>
  <sheetFormatPr defaultColWidth="4.42578125" defaultRowHeight="15"/>
  <cols>
    <col min="1" max="1" width="90" customWidth="1"/>
    <col min="2" max="2" width="7.140625" style="23" hidden="1" customWidth="1"/>
    <col min="3" max="3" width="14.7109375" style="15" customWidth="1"/>
    <col min="4" max="4" width="12.140625" customWidth="1"/>
    <col min="5" max="250" width="9.140625" customWidth="1"/>
    <col min="251" max="251" width="90" customWidth="1"/>
    <col min="252" max="252" width="16.140625" customWidth="1"/>
  </cols>
  <sheetData>
    <row r="1" spans="1:4" ht="54.75" customHeight="1">
      <c r="A1" s="419" t="s">
        <v>428</v>
      </c>
      <c r="B1" s="419"/>
      <c r="C1" s="419"/>
    </row>
    <row r="2" spans="1:4">
      <c r="D2" s="406" t="s">
        <v>42</v>
      </c>
    </row>
    <row r="3" spans="1:4" ht="81" customHeight="1">
      <c r="A3" s="24" t="s">
        <v>43</v>
      </c>
      <c r="B3" s="25" t="s">
        <v>44</v>
      </c>
      <c r="C3" s="120" t="s">
        <v>535</v>
      </c>
      <c r="D3" s="121" t="s">
        <v>536</v>
      </c>
    </row>
    <row r="4" spans="1:4" ht="15.75">
      <c r="A4" s="16" t="s">
        <v>123</v>
      </c>
      <c r="B4" s="17"/>
      <c r="C4" s="404">
        <f>SUM(C5,C32)</f>
        <v>1275847.9000000001</v>
      </c>
      <c r="D4" s="404">
        <f>SUM(D5,D32)</f>
        <v>1398602.4</v>
      </c>
    </row>
    <row r="5" spans="1:4" ht="15.75">
      <c r="A5" s="16" t="s">
        <v>124</v>
      </c>
      <c r="B5" s="18"/>
      <c r="C5" s="404">
        <f>SUM(C6,C7,C10,C12,C15,C18,C22,C23,C27,C30)</f>
        <v>1033738.2000000001</v>
      </c>
      <c r="D5" s="404">
        <f>SUM(D6,D7,D10,D12,D15,D18,D22,D23,D27,D30)</f>
        <v>1119567.0999999999</v>
      </c>
    </row>
    <row r="6" spans="1:4" ht="47.25">
      <c r="A6" s="20" t="s">
        <v>430</v>
      </c>
      <c r="B6" s="28" t="s">
        <v>46</v>
      </c>
      <c r="C6" s="404">
        <v>10</v>
      </c>
      <c r="D6" s="404">
        <v>10</v>
      </c>
    </row>
    <row r="7" spans="1:4" ht="31.5">
      <c r="A7" s="20" t="s">
        <v>431</v>
      </c>
      <c r="B7" s="28" t="s">
        <v>49</v>
      </c>
      <c r="C7" s="404">
        <f>SUM(C8:C9)</f>
        <v>764682.8</v>
      </c>
      <c r="D7" s="404">
        <f>SUM(D8:D9)</f>
        <v>816850.4</v>
      </c>
    </row>
    <row r="8" spans="1:4" s="19" customFormat="1" ht="31.5">
      <c r="A8" s="111" t="s">
        <v>125</v>
      </c>
      <c r="B8" s="112" t="s">
        <v>126</v>
      </c>
      <c r="C8" s="113">
        <v>516410.9</v>
      </c>
      <c r="D8" s="405">
        <v>573302.30000000005</v>
      </c>
    </row>
    <row r="9" spans="1:4" s="19" customFormat="1" ht="31.5">
      <c r="A9" s="111" t="s">
        <v>112</v>
      </c>
      <c r="B9" s="112" t="s">
        <v>127</v>
      </c>
      <c r="C9" s="113">
        <v>248271.9</v>
      </c>
      <c r="D9" s="405">
        <v>243548.1</v>
      </c>
    </row>
    <row r="10" spans="1:4" ht="33" customHeight="1">
      <c r="A10" s="20" t="s">
        <v>429</v>
      </c>
      <c r="B10" s="28" t="s">
        <v>63</v>
      </c>
      <c r="C10" s="404">
        <f>SUM(C11)</f>
        <v>300</v>
      </c>
      <c r="D10" s="404">
        <f>SUM(D11)</f>
        <v>300</v>
      </c>
    </row>
    <row r="11" spans="1:4" s="19" customFormat="1" ht="15.75">
      <c r="A11" s="111" t="s">
        <v>94</v>
      </c>
      <c r="B11" s="112" t="s">
        <v>128</v>
      </c>
      <c r="C11" s="113">
        <v>300</v>
      </c>
      <c r="D11" s="403">
        <v>300</v>
      </c>
    </row>
    <row r="12" spans="1:4" ht="31.5">
      <c r="A12" s="20" t="s">
        <v>432</v>
      </c>
      <c r="B12" s="28" t="s">
        <v>53</v>
      </c>
      <c r="C12" s="404">
        <f>SUM(C13:C14)</f>
        <v>24587.599999999999</v>
      </c>
      <c r="D12" s="404">
        <f>SUM(D13:D14)</f>
        <v>28834.899999999998</v>
      </c>
    </row>
    <row r="13" spans="1:4" s="19" customFormat="1" ht="15.75">
      <c r="A13" s="111" t="s">
        <v>111</v>
      </c>
      <c r="B13" s="112" t="s">
        <v>129</v>
      </c>
      <c r="C13" s="113">
        <v>1757.6</v>
      </c>
      <c r="D13" s="405">
        <v>3180.8</v>
      </c>
    </row>
    <row r="14" spans="1:4" s="19" customFormat="1" ht="31.5">
      <c r="A14" s="111" t="s">
        <v>112</v>
      </c>
      <c r="B14" s="112" t="s">
        <v>130</v>
      </c>
      <c r="C14" s="113">
        <v>22830</v>
      </c>
      <c r="D14" s="405">
        <v>25654.1</v>
      </c>
    </row>
    <row r="15" spans="1:4" ht="31.5">
      <c r="A15" s="20" t="s">
        <v>433</v>
      </c>
      <c r="B15" s="28" t="s">
        <v>56</v>
      </c>
      <c r="C15" s="404">
        <f>SUM(C16:C17)</f>
        <v>43977.799999999996</v>
      </c>
      <c r="D15" s="404">
        <f>SUM(D16:D17)</f>
        <v>79070.399999999994</v>
      </c>
    </row>
    <row r="16" spans="1:4" s="19" customFormat="1" ht="15.75">
      <c r="A16" s="111" t="s">
        <v>84</v>
      </c>
      <c r="B16" s="112" t="s">
        <v>131</v>
      </c>
      <c r="C16" s="113">
        <v>10546.1</v>
      </c>
      <c r="D16" s="405">
        <v>42820.5</v>
      </c>
    </row>
    <row r="17" spans="1:4" s="19" customFormat="1" ht="15.75" customHeight="1">
      <c r="A17" s="111" t="s">
        <v>85</v>
      </c>
      <c r="B17" s="112" t="s">
        <v>132</v>
      </c>
      <c r="C17" s="22">
        <v>33431.699999999997</v>
      </c>
      <c r="D17" s="405">
        <v>36249.9</v>
      </c>
    </row>
    <row r="18" spans="1:4" ht="31.5">
      <c r="A18" s="20" t="s">
        <v>434</v>
      </c>
      <c r="B18" s="28" t="s">
        <v>91</v>
      </c>
      <c r="C18" s="404">
        <f>SUM(C19:C21)</f>
        <v>21594.5</v>
      </c>
      <c r="D18" s="404">
        <f>SUM(D19:D21)</f>
        <v>19749.599999999999</v>
      </c>
    </row>
    <row r="19" spans="1:4" s="19" customFormat="1" ht="15.75">
      <c r="A19" s="111" t="s">
        <v>74</v>
      </c>
      <c r="B19" s="112" t="s">
        <v>133</v>
      </c>
      <c r="C19" s="113">
        <v>10718.3</v>
      </c>
      <c r="D19" s="405">
        <v>11348.3</v>
      </c>
    </row>
    <row r="20" spans="1:4" s="19" customFormat="1" ht="15.75">
      <c r="A20" s="111" t="s">
        <v>77</v>
      </c>
      <c r="B20" s="112" t="s">
        <v>134</v>
      </c>
      <c r="C20" s="113">
        <v>8476.2000000000007</v>
      </c>
      <c r="D20" s="405">
        <v>6151.3</v>
      </c>
    </row>
    <row r="21" spans="1:4" s="19" customFormat="1" ht="15.75">
      <c r="A21" s="111" t="s">
        <v>80</v>
      </c>
      <c r="B21" s="112" t="s">
        <v>135</v>
      </c>
      <c r="C21" s="113">
        <v>2400</v>
      </c>
      <c r="D21" s="405">
        <v>2250</v>
      </c>
    </row>
    <row r="22" spans="1:4" ht="31.5">
      <c r="A22" s="20" t="s">
        <v>435</v>
      </c>
      <c r="B22" s="28" t="s">
        <v>100</v>
      </c>
      <c r="C22" s="404">
        <v>138490.1</v>
      </c>
      <c r="D22" s="404">
        <v>119496.4</v>
      </c>
    </row>
    <row r="23" spans="1:4" ht="31.5">
      <c r="A23" s="20" t="s">
        <v>436</v>
      </c>
      <c r="B23" s="28" t="s">
        <v>73</v>
      </c>
      <c r="C23" s="404">
        <f>SUM(C24:C26)</f>
        <v>36545.4</v>
      </c>
      <c r="D23" s="404">
        <f>SUM(D24:D26)</f>
        <v>51686</v>
      </c>
    </row>
    <row r="24" spans="1:4" s="19" customFormat="1" ht="36.75" customHeight="1">
      <c r="A24" s="398" t="s">
        <v>95</v>
      </c>
      <c r="B24" s="399" t="s">
        <v>136</v>
      </c>
      <c r="C24" s="113">
        <v>0</v>
      </c>
      <c r="D24" s="405">
        <v>11674</v>
      </c>
    </row>
    <row r="25" spans="1:4" s="19" customFormat="1" ht="31.5">
      <c r="A25" s="111" t="s">
        <v>437</v>
      </c>
      <c r="B25" s="399" t="s">
        <v>137</v>
      </c>
      <c r="C25" s="113">
        <v>36545.4</v>
      </c>
      <c r="D25" s="405">
        <v>39852</v>
      </c>
    </row>
    <row r="26" spans="1:4" s="19" customFormat="1" ht="21" customHeight="1">
      <c r="A26" s="398" t="s">
        <v>96</v>
      </c>
      <c r="B26" s="399" t="s">
        <v>138</v>
      </c>
      <c r="C26" s="113">
        <v>0</v>
      </c>
      <c r="D26" s="405">
        <v>160</v>
      </c>
    </row>
    <row r="27" spans="1:4" ht="31.5">
      <c r="A27" s="26" t="s">
        <v>438</v>
      </c>
      <c r="B27" s="28" t="s">
        <v>76</v>
      </c>
      <c r="C27" s="404">
        <f>SUM(C28:C29)</f>
        <v>3450</v>
      </c>
      <c r="D27" s="404">
        <f>SUM(D28:D29)</f>
        <v>3469.3999999999996</v>
      </c>
    </row>
    <row r="28" spans="1:4" s="31" customFormat="1" ht="31.5">
      <c r="A28" s="111" t="s">
        <v>439</v>
      </c>
      <c r="B28" s="28"/>
      <c r="C28" s="113">
        <v>1925</v>
      </c>
      <c r="D28" s="405">
        <v>1944.3</v>
      </c>
    </row>
    <row r="29" spans="1:4" s="31" customFormat="1" ht="47.25">
      <c r="A29" s="111" t="s">
        <v>440</v>
      </c>
      <c r="B29" s="28"/>
      <c r="C29" s="113">
        <v>1525</v>
      </c>
      <c r="D29" s="405">
        <v>1525.1</v>
      </c>
    </row>
    <row r="30" spans="1:4" s="31" customFormat="1" ht="47.25">
      <c r="A30" s="26" t="s">
        <v>441</v>
      </c>
      <c r="B30" s="28"/>
      <c r="C30" s="404">
        <f>SUM(C31)</f>
        <v>100</v>
      </c>
      <c r="D30" s="404">
        <f>SUM(D31)</f>
        <v>100</v>
      </c>
    </row>
    <row r="31" spans="1:4" s="31" customFormat="1" ht="31.5">
      <c r="A31" s="111" t="s">
        <v>442</v>
      </c>
      <c r="B31" s="28"/>
      <c r="C31" s="113">
        <v>100</v>
      </c>
      <c r="D31" s="405">
        <v>100</v>
      </c>
    </row>
    <row r="32" spans="1:4" s="27" customFormat="1" ht="15.75">
      <c r="A32" s="115" t="s">
        <v>139</v>
      </c>
      <c r="B32" s="28"/>
      <c r="C32" s="404">
        <f>SUM(C33,C37,C40,C43,C45,C47)</f>
        <v>242109.69999999998</v>
      </c>
      <c r="D32" s="404">
        <f>SUM(D33,D37,D40,D43,D45,D47)</f>
        <v>279035.30000000005</v>
      </c>
    </row>
    <row r="33" spans="1:4" ht="31.5">
      <c r="A33" s="20" t="s">
        <v>50</v>
      </c>
      <c r="B33" s="28" t="s">
        <v>140</v>
      </c>
      <c r="C33" s="404">
        <f>SUM(C34:C35)</f>
        <v>105531.59999999999</v>
      </c>
      <c r="D33" s="404">
        <f>SUM(D34:D35)</f>
        <v>95492.7</v>
      </c>
    </row>
    <row r="34" spans="1:4" s="19" customFormat="1" ht="15.75">
      <c r="A34" s="21" t="s">
        <v>51</v>
      </c>
      <c r="B34" s="114" t="s">
        <v>141</v>
      </c>
      <c r="C34" s="22">
        <v>4414.8999999999996</v>
      </c>
      <c r="D34" s="403">
        <v>5577.5</v>
      </c>
    </row>
    <row r="35" spans="1:4" s="19" customFormat="1" ht="15.75">
      <c r="A35" s="21" t="s">
        <v>54</v>
      </c>
      <c r="B35" s="114" t="s">
        <v>143</v>
      </c>
      <c r="C35" s="22">
        <v>101116.7</v>
      </c>
      <c r="D35" s="403">
        <v>89915.199999999997</v>
      </c>
    </row>
    <row r="36" spans="1:4" ht="47.25" hidden="1">
      <c r="A36" s="116" t="s">
        <v>144</v>
      </c>
      <c r="B36" s="114" t="s">
        <v>64</v>
      </c>
      <c r="C36" s="22">
        <v>0</v>
      </c>
      <c r="D36" s="403"/>
    </row>
    <row r="37" spans="1:4" ht="31.5">
      <c r="A37" s="20" t="s">
        <v>61</v>
      </c>
      <c r="B37" s="28" t="s">
        <v>145</v>
      </c>
      <c r="C37" s="404">
        <f>SUM(C38:C39)</f>
        <v>102620.8</v>
      </c>
      <c r="D37" s="404">
        <f>SUM(D38:D39)</f>
        <v>145153.1</v>
      </c>
    </row>
    <row r="38" spans="1:4" s="19" customFormat="1" ht="31.5">
      <c r="A38" s="21" t="s">
        <v>62</v>
      </c>
      <c r="B38" s="114" t="s">
        <v>146</v>
      </c>
      <c r="C38" s="22">
        <v>73569</v>
      </c>
      <c r="D38" s="403">
        <v>72886.100000000006</v>
      </c>
    </row>
    <row r="39" spans="1:4" s="19" customFormat="1" ht="15.75">
      <c r="A39" s="21" t="s">
        <v>108</v>
      </c>
      <c r="B39" s="114" t="s">
        <v>147</v>
      </c>
      <c r="C39" s="22">
        <v>29051.8</v>
      </c>
      <c r="D39" s="403">
        <v>72267</v>
      </c>
    </row>
    <row r="40" spans="1:4" ht="15.75">
      <c r="A40" s="20" t="s">
        <v>57</v>
      </c>
      <c r="B40" s="28" t="s">
        <v>148</v>
      </c>
      <c r="C40" s="404">
        <f>SUM(C41:C42)</f>
        <v>27903</v>
      </c>
      <c r="D40" s="404">
        <f>SUM(D41:D42)</f>
        <v>32122.7</v>
      </c>
    </row>
    <row r="41" spans="1:4" s="19" customFormat="1" ht="15.75">
      <c r="A41" s="21" t="s">
        <v>58</v>
      </c>
      <c r="B41" s="114" t="s">
        <v>149</v>
      </c>
      <c r="C41" s="22">
        <v>17703</v>
      </c>
      <c r="D41" s="403">
        <v>21922.7</v>
      </c>
    </row>
    <row r="42" spans="1:4" s="27" customFormat="1" ht="15.75">
      <c r="A42" s="21" t="s">
        <v>98</v>
      </c>
      <c r="B42" s="114" t="s">
        <v>150</v>
      </c>
      <c r="C42" s="22">
        <v>10200</v>
      </c>
      <c r="D42" s="403">
        <v>10200</v>
      </c>
    </row>
    <row r="43" spans="1:4" ht="15.75">
      <c r="A43" s="20" t="s">
        <v>114</v>
      </c>
      <c r="B43" s="28" t="s">
        <v>151</v>
      </c>
      <c r="C43" s="404">
        <f>SUM(C44)</f>
        <v>50</v>
      </c>
      <c r="D43" s="404">
        <f>SUM(D44)</f>
        <v>0</v>
      </c>
    </row>
    <row r="44" spans="1:4" s="19" customFormat="1" ht="15.75">
      <c r="A44" s="21" t="s">
        <v>116</v>
      </c>
      <c r="B44" s="114" t="s">
        <v>152</v>
      </c>
      <c r="C44" s="22">
        <v>50</v>
      </c>
      <c r="D44" s="403">
        <v>0</v>
      </c>
    </row>
    <row r="45" spans="1:4" ht="15.75">
      <c r="A45" s="20" t="s">
        <v>117</v>
      </c>
      <c r="B45" s="28" t="s">
        <v>153</v>
      </c>
      <c r="C45" s="404">
        <f>SUM(C46)</f>
        <v>3674.3</v>
      </c>
      <c r="D45" s="404">
        <f>SUM(D46)</f>
        <v>3657.9</v>
      </c>
    </row>
    <row r="46" spans="1:4" s="19" customFormat="1" ht="16.5" customHeight="1">
      <c r="A46" s="21" t="s">
        <v>119</v>
      </c>
      <c r="B46" s="114" t="s">
        <v>154</v>
      </c>
      <c r="C46" s="22">
        <v>3674.3</v>
      </c>
      <c r="D46" s="403">
        <v>3657.9</v>
      </c>
    </row>
    <row r="47" spans="1:4" ht="15.75">
      <c r="A47" s="20" t="s">
        <v>120</v>
      </c>
      <c r="B47" s="28" t="s">
        <v>155</v>
      </c>
      <c r="C47" s="404">
        <f>SUM(C48)</f>
        <v>2330</v>
      </c>
      <c r="D47" s="404">
        <f>SUM(D48)</f>
        <v>2608.9</v>
      </c>
    </row>
    <row r="48" spans="1:4" s="19" customFormat="1" ht="31.5">
      <c r="A48" s="21" t="s">
        <v>121</v>
      </c>
      <c r="B48" s="114" t="s">
        <v>156</v>
      </c>
      <c r="C48" s="22">
        <v>2330</v>
      </c>
      <c r="D48" s="403">
        <v>2608.9</v>
      </c>
    </row>
    <row r="49" spans="1:3" ht="96" hidden="1" customHeight="1">
      <c r="A49" s="400" t="s">
        <v>142</v>
      </c>
      <c r="B49" s="401" t="s">
        <v>122</v>
      </c>
      <c r="C49" s="402" t="e">
        <f>#REF!+#REF!+#REF!</f>
        <v>#REF!</v>
      </c>
    </row>
    <row r="54" spans="1:3">
      <c r="C54" s="29"/>
    </row>
    <row r="56" spans="1:3">
      <c r="C56" s="29"/>
    </row>
  </sheetData>
  <mergeCells count="1">
    <mergeCell ref="A1:C1"/>
  </mergeCells>
  <pageMargins left="0.31496062992125984" right="0.31496062992125984" top="0.51181102362204722" bottom="0.23622047244094491" header="0.31496062992125984" footer="0.19685039370078741"/>
  <pageSetup paperSize="9" scale="92" fitToHeight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31"/>
  <sheetViews>
    <sheetView zoomScaleNormal="100" zoomScaleSheetLayoutView="11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Y9" sqref="AY9"/>
    </sheetView>
  </sheetViews>
  <sheetFormatPr defaultRowHeight="12.75"/>
  <cols>
    <col min="1" max="1" width="98.85546875" style="53" customWidth="1"/>
    <col min="2" max="2" width="35.140625" style="49" bestFit="1" customWidth="1"/>
    <col min="3" max="9" width="8.42578125" style="49" hidden="1" customWidth="1"/>
    <col min="10" max="10" width="12.85546875" style="49" hidden="1" customWidth="1"/>
    <col min="11" max="11" width="10.7109375" style="49" hidden="1" customWidth="1"/>
    <col min="12" max="16" width="9" style="49" bestFit="1" customWidth="1"/>
    <col min="17" max="17" width="10.140625" style="49" hidden="1" customWidth="1"/>
    <col min="18" max="18" width="14.85546875" style="49" hidden="1" customWidth="1"/>
    <col min="19" max="19" width="15.7109375" style="49" hidden="1" customWidth="1"/>
    <col min="20" max="20" width="10.28515625" style="49" hidden="1" customWidth="1"/>
    <col min="21" max="21" width="11" style="49" hidden="1" customWidth="1"/>
    <col min="22" max="22" width="8.140625" style="49" hidden="1" customWidth="1"/>
    <col min="23" max="23" width="11" style="49" hidden="1" customWidth="1"/>
    <col min="24" max="32" width="9.140625" style="49" hidden="1" customWidth="1"/>
    <col min="33" max="48" width="0" style="49" hidden="1" customWidth="1"/>
    <col min="49" max="256" width="9.140625" style="49"/>
    <col min="257" max="257" width="98.85546875" style="49" customWidth="1"/>
    <col min="258" max="258" width="35.140625" style="49" bestFit="1" customWidth="1"/>
    <col min="259" max="267" width="0" style="49" hidden="1" customWidth="1"/>
    <col min="268" max="272" width="9" style="49" bestFit="1" customWidth="1"/>
    <col min="273" max="304" width="0" style="49" hidden="1" customWidth="1"/>
    <col min="305" max="512" width="9.140625" style="49"/>
    <col min="513" max="513" width="98.85546875" style="49" customWidth="1"/>
    <col min="514" max="514" width="35.140625" style="49" bestFit="1" customWidth="1"/>
    <col min="515" max="523" width="0" style="49" hidden="1" customWidth="1"/>
    <col min="524" max="528" width="9" style="49" bestFit="1" customWidth="1"/>
    <col min="529" max="560" width="0" style="49" hidden="1" customWidth="1"/>
    <col min="561" max="768" width="9.140625" style="49"/>
    <col min="769" max="769" width="98.85546875" style="49" customWidth="1"/>
    <col min="770" max="770" width="35.140625" style="49" bestFit="1" customWidth="1"/>
    <col min="771" max="779" width="0" style="49" hidden="1" customWidth="1"/>
    <col min="780" max="784" width="9" style="49" bestFit="1" customWidth="1"/>
    <col min="785" max="816" width="0" style="49" hidden="1" customWidth="1"/>
    <col min="817" max="1024" width="9.140625" style="49"/>
    <col min="1025" max="1025" width="98.85546875" style="49" customWidth="1"/>
    <col min="1026" max="1026" width="35.140625" style="49" bestFit="1" customWidth="1"/>
    <col min="1027" max="1035" width="0" style="49" hidden="1" customWidth="1"/>
    <col min="1036" max="1040" width="9" style="49" bestFit="1" customWidth="1"/>
    <col min="1041" max="1072" width="0" style="49" hidden="1" customWidth="1"/>
    <col min="1073" max="1280" width="9.140625" style="49"/>
    <col min="1281" max="1281" width="98.85546875" style="49" customWidth="1"/>
    <col min="1282" max="1282" width="35.140625" style="49" bestFit="1" customWidth="1"/>
    <col min="1283" max="1291" width="0" style="49" hidden="1" customWidth="1"/>
    <col min="1292" max="1296" width="9" style="49" bestFit="1" customWidth="1"/>
    <col min="1297" max="1328" width="0" style="49" hidden="1" customWidth="1"/>
    <col min="1329" max="1536" width="9.140625" style="49"/>
    <col min="1537" max="1537" width="98.85546875" style="49" customWidth="1"/>
    <col min="1538" max="1538" width="35.140625" style="49" bestFit="1" customWidth="1"/>
    <col min="1539" max="1547" width="0" style="49" hidden="1" customWidth="1"/>
    <col min="1548" max="1552" width="9" style="49" bestFit="1" customWidth="1"/>
    <col min="1553" max="1584" width="0" style="49" hidden="1" customWidth="1"/>
    <col min="1585" max="1792" width="9.140625" style="49"/>
    <col min="1793" max="1793" width="98.85546875" style="49" customWidth="1"/>
    <col min="1794" max="1794" width="35.140625" style="49" bestFit="1" customWidth="1"/>
    <col min="1795" max="1803" width="0" style="49" hidden="1" customWidth="1"/>
    <col min="1804" max="1808" width="9" style="49" bestFit="1" customWidth="1"/>
    <col min="1809" max="1840" width="0" style="49" hidden="1" customWidth="1"/>
    <col min="1841" max="2048" width="9.140625" style="49"/>
    <col min="2049" max="2049" width="98.85546875" style="49" customWidth="1"/>
    <col min="2050" max="2050" width="35.140625" style="49" bestFit="1" customWidth="1"/>
    <col min="2051" max="2059" width="0" style="49" hidden="1" customWidth="1"/>
    <col min="2060" max="2064" width="9" style="49" bestFit="1" customWidth="1"/>
    <col min="2065" max="2096" width="0" style="49" hidden="1" customWidth="1"/>
    <col min="2097" max="2304" width="9.140625" style="49"/>
    <col min="2305" max="2305" width="98.85546875" style="49" customWidth="1"/>
    <col min="2306" max="2306" width="35.140625" style="49" bestFit="1" customWidth="1"/>
    <col min="2307" max="2315" width="0" style="49" hidden="1" customWidth="1"/>
    <col min="2316" max="2320" width="9" style="49" bestFit="1" customWidth="1"/>
    <col min="2321" max="2352" width="0" style="49" hidden="1" customWidth="1"/>
    <col min="2353" max="2560" width="9.140625" style="49"/>
    <col min="2561" max="2561" width="98.85546875" style="49" customWidth="1"/>
    <col min="2562" max="2562" width="35.140625" style="49" bestFit="1" customWidth="1"/>
    <col min="2563" max="2571" width="0" style="49" hidden="1" customWidth="1"/>
    <col min="2572" max="2576" width="9" style="49" bestFit="1" customWidth="1"/>
    <col min="2577" max="2608" width="0" style="49" hidden="1" customWidth="1"/>
    <col min="2609" max="2816" width="9.140625" style="49"/>
    <col min="2817" max="2817" width="98.85546875" style="49" customWidth="1"/>
    <col min="2818" max="2818" width="35.140625" style="49" bestFit="1" customWidth="1"/>
    <col min="2819" max="2827" width="0" style="49" hidden="1" customWidth="1"/>
    <col min="2828" max="2832" width="9" style="49" bestFit="1" customWidth="1"/>
    <col min="2833" max="2864" width="0" style="49" hidden="1" customWidth="1"/>
    <col min="2865" max="3072" width="9.140625" style="49"/>
    <col min="3073" max="3073" width="98.85546875" style="49" customWidth="1"/>
    <col min="3074" max="3074" width="35.140625" style="49" bestFit="1" customWidth="1"/>
    <col min="3075" max="3083" width="0" style="49" hidden="1" customWidth="1"/>
    <col min="3084" max="3088" width="9" style="49" bestFit="1" customWidth="1"/>
    <col min="3089" max="3120" width="0" style="49" hidden="1" customWidth="1"/>
    <col min="3121" max="3328" width="9.140625" style="49"/>
    <col min="3329" max="3329" width="98.85546875" style="49" customWidth="1"/>
    <col min="3330" max="3330" width="35.140625" style="49" bestFit="1" customWidth="1"/>
    <col min="3331" max="3339" width="0" style="49" hidden="1" customWidth="1"/>
    <col min="3340" max="3344" width="9" style="49" bestFit="1" customWidth="1"/>
    <col min="3345" max="3376" width="0" style="49" hidden="1" customWidth="1"/>
    <col min="3377" max="3584" width="9.140625" style="49"/>
    <col min="3585" max="3585" width="98.85546875" style="49" customWidth="1"/>
    <col min="3586" max="3586" width="35.140625" style="49" bestFit="1" customWidth="1"/>
    <col min="3587" max="3595" width="0" style="49" hidden="1" customWidth="1"/>
    <col min="3596" max="3600" width="9" style="49" bestFit="1" customWidth="1"/>
    <col min="3601" max="3632" width="0" style="49" hidden="1" customWidth="1"/>
    <col min="3633" max="3840" width="9.140625" style="49"/>
    <col min="3841" max="3841" width="98.85546875" style="49" customWidth="1"/>
    <col min="3842" max="3842" width="35.140625" style="49" bestFit="1" customWidth="1"/>
    <col min="3843" max="3851" width="0" style="49" hidden="1" customWidth="1"/>
    <col min="3852" max="3856" width="9" style="49" bestFit="1" customWidth="1"/>
    <col min="3857" max="3888" width="0" style="49" hidden="1" customWidth="1"/>
    <col min="3889" max="4096" width="9.140625" style="49"/>
    <col min="4097" max="4097" width="98.85546875" style="49" customWidth="1"/>
    <col min="4098" max="4098" width="35.140625" style="49" bestFit="1" customWidth="1"/>
    <col min="4099" max="4107" width="0" style="49" hidden="1" customWidth="1"/>
    <col min="4108" max="4112" width="9" style="49" bestFit="1" customWidth="1"/>
    <col min="4113" max="4144" width="0" style="49" hidden="1" customWidth="1"/>
    <col min="4145" max="4352" width="9.140625" style="49"/>
    <col min="4353" max="4353" width="98.85546875" style="49" customWidth="1"/>
    <col min="4354" max="4354" width="35.140625" style="49" bestFit="1" customWidth="1"/>
    <col min="4355" max="4363" width="0" style="49" hidden="1" customWidth="1"/>
    <col min="4364" max="4368" width="9" style="49" bestFit="1" customWidth="1"/>
    <col min="4369" max="4400" width="0" style="49" hidden="1" customWidth="1"/>
    <col min="4401" max="4608" width="9.140625" style="49"/>
    <col min="4609" max="4609" width="98.85546875" style="49" customWidth="1"/>
    <col min="4610" max="4610" width="35.140625" style="49" bestFit="1" customWidth="1"/>
    <col min="4611" max="4619" width="0" style="49" hidden="1" customWidth="1"/>
    <col min="4620" max="4624" width="9" style="49" bestFit="1" customWidth="1"/>
    <col min="4625" max="4656" width="0" style="49" hidden="1" customWidth="1"/>
    <col min="4657" max="4864" width="9.140625" style="49"/>
    <col min="4865" max="4865" width="98.85546875" style="49" customWidth="1"/>
    <col min="4866" max="4866" width="35.140625" style="49" bestFit="1" customWidth="1"/>
    <col min="4867" max="4875" width="0" style="49" hidden="1" customWidth="1"/>
    <col min="4876" max="4880" width="9" style="49" bestFit="1" customWidth="1"/>
    <col min="4881" max="4912" width="0" style="49" hidden="1" customWidth="1"/>
    <col min="4913" max="5120" width="9.140625" style="49"/>
    <col min="5121" max="5121" width="98.85546875" style="49" customWidth="1"/>
    <col min="5122" max="5122" width="35.140625" style="49" bestFit="1" customWidth="1"/>
    <col min="5123" max="5131" width="0" style="49" hidden="1" customWidth="1"/>
    <col min="5132" max="5136" width="9" style="49" bestFit="1" customWidth="1"/>
    <col min="5137" max="5168" width="0" style="49" hidden="1" customWidth="1"/>
    <col min="5169" max="5376" width="9.140625" style="49"/>
    <col min="5377" max="5377" width="98.85546875" style="49" customWidth="1"/>
    <col min="5378" max="5378" width="35.140625" style="49" bestFit="1" customWidth="1"/>
    <col min="5379" max="5387" width="0" style="49" hidden="1" customWidth="1"/>
    <col min="5388" max="5392" width="9" style="49" bestFit="1" customWidth="1"/>
    <col min="5393" max="5424" width="0" style="49" hidden="1" customWidth="1"/>
    <col min="5425" max="5632" width="9.140625" style="49"/>
    <col min="5633" max="5633" width="98.85546875" style="49" customWidth="1"/>
    <col min="5634" max="5634" width="35.140625" style="49" bestFit="1" customWidth="1"/>
    <col min="5635" max="5643" width="0" style="49" hidden="1" customWidth="1"/>
    <col min="5644" max="5648" width="9" style="49" bestFit="1" customWidth="1"/>
    <col min="5649" max="5680" width="0" style="49" hidden="1" customWidth="1"/>
    <col min="5681" max="5888" width="9.140625" style="49"/>
    <col min="5889" max="5889" width="98.85546875" style="49" customWidth="1"/>
    <col min="5890" max="5890" width="35.140625" style="49" bestFit="1" customWidth="1"/>
    <col min="5891" max="5899" width="0" style="49" hidden="1" customWidth="1"/>
    <col min="5900" max="5904" width="9" style="49" bestFit="1" customWidth="1"/>
    <col min="5905" max="5936" width="0" style="49" hidden="1" customWidth="1"/>
    <col min="5937" max="6144" width="9.140625" style="49"/>
    <col min="6145" max="6145" width="98.85546875" style="49" customWidth="1"/>
    <col min="6146" max="6146" width="35.140625" style="49" bestFit="1" customWidth="1"/>
    <col min="6147" max="6155" width="0" style="49" hidden="1" customWidth="1"/>
    <col min="6156" max="6160" width="9" style="49" bestFit="1" customWidth="1"/>
    <col min="6161" max="6192" width="0" style="49" hidden="1" customWidth="1"/>
    <col min="6193" max="6400" width="9.140625" style="49"/>
    <col min="6401" max="6401" width="98.85546875" style="49" customWidth="1"/>
    <col min="6402" max="6402" width="35.140625" style="49" bestFit="1" customWidth="1"/>
    <col min="6403" max="6411" width="0" style="49" hidden="1" customWidth="1"/>
    <col min="6412" max="6416" width="9" style="49" bestFit="1" customWidth="1"/>
    <col min="6417" max="6448" width="0" style="49" hidden="1" customWidth="1"/>
    <col min="6449" max="6656" width="9.140625" style="49"/>
    <col min="6657" max="6657" width="98.85546875" style="49" customWidth="1"/>
    <col min="6658" max="6658" width="35.140625" style="49" bestFit="1" customWidth="1"/>
    <col min="6659" max="6667" width="0" style="49" hidden="1" customWidth="1"/>
    <col min="6668" max="6672" width="9" style="49" bestFit="1" customWidth="1"/>
    <col min="6673" max="6704" width="0" style="49" hidden="1" customWidth="1"/>
    <col min="6705" max="6912" width="9.140625" style="49"/>
    <col min="6913" max="6913" width="98.85546875" style="49" customWidth="1"/>
    <col min="6914" max="6914" width="35.140625" style="49" bestFit="1" customWidth="1"/>
    <col min="6915" max="6923" width="0" style="49" hidden="1" customWidth="1"/>
    <col min="6924" max="6928" width="9" style="49" bestFit="1" customWidth="1"/>
    <col min="6929" max="6960" width="0" style="49" hidden="1" customWidth="1"/>
    <col min="6961" max="7168" width="9.140625" style="49"/>
    <col min="7169" max="7169" width="98.85546875" style="49" customWidth="1"/>
    <col min="7170" max="7170" width="35.140625" style="49" bestFit="1" customWidth="1"/>
    <col min="7171" max="7179" width="0" style="49" hidden="1" customWidth="1"/>
    <col min="7180" max="7184" width="9" style="49" bestFit="1" customWidth="1"/>
    <col min="7185" max="7216" width="0" style="49" hidden="1" customWidth="1"/>
    <col min="7217" max="7424" width="9.140625" style="49"/>
    <col min="7425" max="7425" width="98.85546875" style="49" customWidth="1"/>
    <col min="7426" max="7426" width="35.140625" style="49" bestFit="1" customWidth="1"/>
    <col min="7427" max="7435" width="0" style="49" hidden="1" customWidth="1"/>
    <col min="7436" max="7440" width="9" style="49" bestFit="1" customWidth="1"/>
    <col min="7441" max="7472" width="0" style="49" hidden="1" customWidth="1"/>
    <col min="7473" max="7680" width="9.140625" style="49"/>
    <col min="7681" max="7681" width="98.85546875" style="49" customWidth="1"/>
    <col min="7682" max="7682" width="35.140625" style="49" bestFit="1" customWidth="1"/>
    <col min="7683" max="7691" width="0" style="49" hidden="1" customWidth="1"/>
    <col min="7692" max="7696" width="9" style="49" bestFit="1" customWidth="1"/>
    <col min="7697" max="7728" width="0" style="49" hidden="1" customWidth="1"/>
    <col min="7729" max="7936" width="9.140625" style="49"/>
    <col min="7937" max="7937" width="98.85546875" style="49" customWidth="1"/>
    <col min="7938" max="7938" width="35.140625" style="49" bestFit="1" customWidth="1"/>
    <col min="7939" max="7947" width="0" style="49" hidden="1" customWidth="1"/>
    <col min="7948" max="7952" width="9" style="49" bestFit="1" customWidth="1"/>
    <col min="7953" max="7984" width="0" style="49" hidden="1" customWidth="1"/>
    <col min="7985" max="8192" width="9.140625" style="49"/>
    <col min="8193" max="8193" width="98.85546875" style="49" customWidth="1"/>
    <col min="8194" max="8194" width="35.140625" style="49" bestFit="1" customWidth="1"/>
    <col min="8195" max="8203" width="0" style="49" hidden="1" customWidth="1"/>
    <col min="8204" max="8208" width="9" style="49" bestFit="1" customWidth="1"/>
    <col min="8209" max="8240" width="0" style="49" hidden="1" customWidth="1"/>
    <col min="8241" max="8448" width="9.140625" style="49"/>
    <col min="8449" max="8449" width="98.85546875" style="49" customWidth="1"/>
    <col min="8450" max="8450" width="35.140625" style="49" bestFit="1" customWidth="1"/>
    <col min="8451" max="8459" width="0" style="49" hidden="1" customWidth="1"/>
    <col min="8460" max="8464" width="9" style="49" bestFit="1" customWidth="1"/>
    <col min="8465" max="8496" width="0" style="49" hidden="1" customWidth="1"/>
    <col min="8497" max="8704" width="9.140625" style="49"/>
    <col min="8705" max="8705" width="98.85546875" style="49" customWidth="1"/>
    <col min="8706" max="8706" width="35.140625" style="49" bestFit="1" customWidth="1"/>
    <col min="8707" max="8715" width="0" style="49" hidden="1" customWidth="1"/>
    <col min="8716" max="8720" width="9" style="49" bestFit="1" customWidth="1"/>
    <col min="8721" max="8752" width="0" style="49" hidden="1" customWidth="1"/>
    <col min="8753" max="8960" width="9.140625" style="49"/>
    <col min="8961" max="8961" width="98.85546875" style="49" customWidth="1"/>
    <col min="8962" max="8962" width="35.140625" style="49" bestFit="1" customWidth="1"/>
    <col min="8963" max="8971" width="0" style="49" hidden="1" customWidth="1"/>
    <col min="8972" max="8976" width="9" style="49" bestFit="1" customWidth="1"/>
    <col min="8977" max="9008" width="0" style="49" hidden="1" customWidth="1"/>
    <col min="9009" max="9216" width="9.140625" style="49"/>
    <col min="9217" max="9217" width="98.85546875" style="49" customWidth="1"/>
    <col min="9218" max="9218" width="35.140625" style="49" bestFit="1" customWidth="1"/>
    <col min="9219" max="9227" width="0" style="49" hidden="1" customWidth="1"/>
    <col min="9228" max="9232" width="9" style="49" bestFit="1" customWidth="1"/>
    <col min="9233" max="9264" width="0" style="49" hidden="1" customWidth="1"/>
    <col min="9265" max="9472" width="9.140625" style="49"/>
    <col min="9473" max="9473" width="98.85546875" style="49" customWidth="1"/>
    <col min="9474" max="9474" width="35.140625" style="49" bestFit="1" customWidth="1"/>
    <col min="9475" max="9483" width="0" style="49" hidden="1" customWidth="1"/>
    <col min="9484" max="9488" width="9" style="49" bestFit="1" customWidth="1"/>
    <col min="9489" max="9520" width="0" style="49" hidden="1" customWidth="1"/>
    <col min="9521" max="9728" width="9.140625" style="49"/>
    <col min="9729" max="9729" width="98.85546875" style="49" customWidth="1"/>
    <col min="9730" max="9730" width="35.140625" style="49" bestFit="1" customWidth="1"/>
    <col min="9731" max="9739" width="0" style="49" hidden="1" customWidth="1"/>
    <col min="9740" max="9744" width="9" style="49" bestFit="1" customWidth="1"/>
    <col min="9745" max="9776" width="0" style="49" hidden="1" customWidth="1"/>
    <col min="9777" max="9984" width="9.140625" style="49"/>
    <col min="9985" max="9985" width="98.85546875" style="49" customWidth="1"/>
    <col min="9986" max="9986" width="35.140625" style="49" bestFit="1" customWidth="1"/>
    <col min="9987" max="9995" width="0" style="49" hidden="1" customWidth="1"/>
    <col min="9996" max="10000" width="9" style="49" bestFit="1" customWidth="1"/>
    <col min="10001" max="10032" width="0" style="49" hidden="1" customWidth="1"/>
    <col min="10033" max="10240" width="9.140625" style="49"/>
    <col min="10241" max="10241" width="98.85546875" style="49" customWidth="1"/>
    <col min="10242" max="10242" width="35.140625" style="49" bestFit="1" customWidth="1"/>
    <col min="10243" max="10251" width="0" style="49" hidden="1" customWidth="1"/>
    <col min="10252" max="10256" width="9" style="49" bestFit="1" customWidth="1"/>
    <col min="10257" max="10288" width="0" style="49" hidden="1" customWidth="1"/>
    <col min="10289" max="10496" width="9.140625" style="49"/>
    <col min="10497" max="10497" width="98.85546875" style="49" customWidth="1"/>
    <col min="10498" max="10498" width="35.140625" style="49" bestFit="1" customWidth="1"/>
    <col min="10499" max="10507" width="0" style="49" hidden="1" customWidth="1"/>
    <col min="10508" max="10512" width="9" style="49" bestFit="1" customWidth="1"/>
    <col min="10513" max="10544" width="0" style="49" hidden="1" customWidth="1"/>
    <col min="10545" max="10752" width="9.140625" style="49"/>
    <col min="10753" max="10753" width="98.85546875" style="49" customWidth="1"/>
    <col min="10754" max="10754" width="35.140625" style="49" bestFit="1" customWidth="1"/>
    <col min="10755" max="10763" width="0" style="49" hidden="1" customWidth="1"/>
    <col min="10764" max="10768" width="9" style="49" bestFit="1" customWidth="1"/>
    <col min="10769" max="10800" width="0" style="49" hidden="1" customWidth="1"/>
    <col min="10801" max="11008" width="9.140625" style="49"/>
    <col min="11009" max="11009" width="98.85546875" style="49" customWidth="1"/>
    <col min="11010" max="11010" width="35.140625" style="49" bestFit="1" customWidth="1"/>
    <col min="11011" max="11019" width="0" style="49" hidden="1" customWidth="1"/>
    <col min="11020" max="11024" width="9" style="49" bestFit="1" customWidth="1"/>
    <col min="11025" max="11056" width="0" style="49" hidden="1" customWidth="1"/>
    <col min="11057" max="11264" width="9.140625" style="49"/>
    <col min="11265" max="11265" width="98.85546875" style="49" customWidth="1"/>
    <col min="11266" max="11266" width="35.140625" style="49" bestFit="1" customWidth="1"/>
    <col min="11267" max="11275" width="0" style="49" hidden="1" customWidth="1"/>
    <col min="11276" max="11280" width="9" style="49" bestFit="1" customWidth="1"/>
    <col min="11281" max="11312" width="0" style="49" hidden="1" customWidth="1"/>
    <col min="11313" max="11520" width="9.140625" style="49"/>
    <col min="11521" max="11521" width="98.85546875" style="49" customWidth="1"/>
    <col min="11522" max="11522" width="35.140625" style="49" bestFit="1" customWidth="1"/>
    <col min="11523" max="11531" width="0" style="49" hidden="1" customWidth="1"/>
    <col min="11532" max="11536" width="9" style="49" bestFit="1" customWidth="1"/>
    <col min="11537" max="11568" width="0" style="49" hidden="1" customWidth="1"/>
    <col min="11569" max="11776" width="9.140625" style="49"/>
    <col min="11777" max="11777" width="98.85546875" style="49" customWidth="1"/>
    <col min="11778" max="11778" width="35.140625" style="49" bestFit="1" customWidth="1"/>
    <col min="11779" max="11787" width="0" style="49" hidden="1" customWidth="1"/>
    <col min="11788" max="11792" width="9" style="49" bestFit="1" customWidth="1"/>
    <col min="11793" max="11824" width="0" style="49" hidden="1" customWidth="1"/>
    <col min="11825" max="12032" width="9.140625" style="49"/>
    <col min="12033" max="12033" width="98.85546875" style="49" customWidth="1"/>
    <col min="12034" max="12034" width="35.140625" style="49" bestFit="1" customWidth="1"/>
    <col min="12035" max="12043" width="0" style="49" hidden="1" customWidth="1"/>
    <col min="12044" max="12048" width="9" style="49" bestFit="1" customWidth="1"/>
    <col min="12049" max="12080" width="0" style="49" hidden="1" customWidth="1"/>
    <col min="12081" max="12288" width="9.140625" style="49"/>
    <col min="12289" max="12289" width="98.85546875" style="49" customWidth="1"/>
    <col min="12290" max="12290" width="35.140625" style="49" bestFit="1" customWidth="1"/>
    <col min="12291" max="12299" width="0" style="49" hidden="1" customWidth="1"/>
    <col min="12300" max="12304" width="9" style="49" bestFit="1" customWidth="1"/>
    <col min="12305" max="12336" width="0" style="49" hidden="1" customWidth="1"/>
    <col min="12337" max="12544" width="9.140625" style="49"/>
    <col min="12545" max="12545" width="98.85546875" style="49" customWidth="1"/>
    <col min="12546" max="12546" width="35.140625" style="49" bestFit="1" customWidth="1"/>
    <col min="12547" max="12555" width="0" style="49" hidden="1" customWidth="1"/>
    <col min="12556" max="12560" width="9" style="49" bestFit="1" customWidth="1"/>
    <col min="12561" max="12592" width="0" style="49" hidden="1" customWidth="1"/>
    <col min="12593" max="12800" width="9.140625" style="49"/>
    <col min="12801" max="12801" width="98.85546875" style="49" customWidth="1"/>
    <col min="12802" max="12802" width="35.140625" style="49" bestFit="1" customWidth="1"/>
    <col min="12803" max="12811" width="0" style="49" hidden="1" customWidth="1"/>
    <col min="12812" max="12816" width="9" style="49" bestFit="1" customWidth="1"/>
    <col min="12817" max="12848" width="0" style="49" hidden="1" customWidth="1"/>
    <col min="12849" max="13056" width="9.140625" style="49"/>
    <col min="13057" max="13057" width="98.85546875" style="49" customWidth="1"/>
    <col min="13058" max="13058" width="35.140625" style="49" bestFit="1" customWidth="1"/>
    <col min="13059" max="13067" width="0" style="49" hidden="1" customWidth="1"/>
    <col min="13068" max="13072" width="9" style="49" bestFit="1" customWidth="1"/>
    <col min="13073" max="13104" width="0" style="49" hidden="1" customWidth="1"/>
    <col min="13105" max="13312" width="9.140625" style="49"/>
    <col min="13313" max="13313" width="98.85546875" style="49" customWidth="1"/>
    <col min="13314" max="13314" width="35.140625" style="49" bestFit="1" customWidth="1"/>
    <col min="13315" max="13323" width="0" style="49" hidden="1" customWidth="1"/>
    <col min="13324" max="13328" width="9" style="49" bestFit="1" customWidth="1"/>
    <col min="13329" max="13360" width="0" style="49" hidden="1" customWidth="1"/>
    <col min="13361" max="13568" width="9.140625" style="49"/>
    <col min="13569" max="13569" width="98.85546875" style="49" customWidth="1"/>
    <col min="13570" max="13570" width="35.140625" style="49" bestFit="1" customWidth="1"/>
    <col min="13571" max="13579" width="0" style="49" hidden="1" customWidth="1"/>
    <col min="13580" max="13584" width="9" style="49" bestFit="1" customWidth="1"/>
    <col min="13585" max="13616" width="0" style="49" hidden="1" customWidth="1"/>
    <col min="13617" max="13824" width="9.140625" style="49"/>
    <col min="13825" max="13825" width="98.85546875" style="49" customWidth="1"/>
    <col min="13826" max="13826" width="35.140625" style="49" bestFit="1" customWidth="1"/>
    <col min="13827" max="13835" width="0" style="49" hidden="1" customWidth="1"/>
    <col min="13836" max="13840" width="9" style="49" bestFit="1" customWidth="1"/>
    <col min="13841" max="13872" width="0" style="49" hidden="1" customWidth="1"/>
    <col min="13873" max="14080" width="9.140625" style="49"/>
    <col min="14081" max="14081" width="98.85546875" style="49" customWidth="1"/>
    <col min="14082" max="14082" width="35.140625" style="49" bestFit="1" customWidth="1"/>
    <col min="14083" max="14091" width="0" style="49" hidden="1" customWidth="1"/>
    <col min="14092" max="14096" width="9" style="49" bestFit="1" customWidth="1"/>
    <col min="14097" max="14128" width="0" style="49" hidden="1" customWidth="1"/>
    <col min="14129" max="14336" width="9.140625" style="49"/>
    <col min="14337" max="14337" width="98.85546875" style="49" customWidth="1"/>
    <col min="14338" max="14338" width="35.140625" style="49" bestFit="1" customWidth="1"/>
    <col min="14339" max="14347" width="0" style="49" hidden="1" customWidth="1"/>
    <col min="14348" max="14352" width="9" style="49" bestFit="1" customWidth="1"/>
    <col min="14353" max="14384" width="0" style="49" hidden="1" customWidth="1"/>
    <col min="14385" max="14592" width="9.140625" style="49"/>
    <col min="14593" max="14593" width="98.85546875" style="49" customWidth="1"/>
    <col min="14594" max="14594" width="35.140625" style="49" bestFit="1" customWidth="1"/>
    <col min="14595" max="14603" width="0" style="49" hidden="1" customWidth="1"/>
    <col min="14604" max="14608" width="9" style="49" bestFit="1" customWidth="1"/>
    <col min="14609" max="14640" width="0" style="49" hidden="1" customWidth="1"/>
    <col min="14641" max="14848" width="9.140625" style="49"/>
    <col min="14849" max="14849" width="98.85546875" style="49" customWidth="1"/>
    <col min="14850" max="14850" width="35.140625" style="49" bestFit="1" customWidth="1"/>
    <col min="14851" max="14859" width="0" style="49" hidden="1" customWidth="1"/>
    <col min="14860" max="14864" width="9" style="49" bestFit="1" customWidth="1"/>
    <col min="14865" max="14896" width="0" style="49" hidden="1" customWidth="1"/>
    <col min="14897" max="15104" width="9.140625" style="49"/>
    <col min="15105" max="15105" width="98.85546875" style="49" customWidth="1"/>
    <col min="15106" max="15106" width="35.140625" style="49" bestFit="1" customWidth="1"/>
    <col min="15107" max="15115" width="0" style="49" hidden="1" customWidth="1"/>
    <col min="15116" max="15120" width="9" style="49" bestFit="1" customWidth="1"/>
    <col min="15121" max="15152" width="0" style="49" hidden="1" customWidth="1"/>
    <col min="15153" max="15360" width="9.140625" style="49"/>
    <col min="15361" max="15361" width="98.85546875" style="49" customWidth="1"/>
    <col min="15362" max="15362" width="35.140625" style="49" bestFit="1" customWidth="1"/>
    <col min="15363" max="15371" width="0" style="49" hidden="1" customWidth="1"/>
    <col min="15372" max="15376" width="9" style="49" bestFit="1" customWidth="1"/>
    <col min="15377" max="15408" width="0" style="49" hidden="1" customWidth="1"/>
    <col min="15409" max="15616" width="9.140625" style="49"/>
    <col min="15617" max="15617" width="98.85546875" style="49" customWidth="1"/>
    <col min="15618" max="15618" width="35.140625" style="49" bestFit="1" customWidth="1"/>
    <col min="15619" max="15627" width="0" style="49" hidden="1" customWidth="1"/>
    <col min="15628" max="15632" width="9" style="49" bestFit="1" customWidth="1"/>
    <col min="15633" max="15664" width="0" style="49" hidden="1" customWidth="1"/>
    <col min="15665" max="15872" width="9.140625" style="49"/>
    <col min="15873" max="15873" width="98.85546875" style="49" customWidth="1"/>
    <col min="15874" max="15874" width="35.140625" style="49" bestFit="1" customWidth="1"/>
    <col min="15875" max="15883" width="0" style="49" hidden="1" customWidth="1"/>
    <col min="15884" max="15888" width="9" style="49" bestFit="1" customWidth="1"/>
    <col min="15889" max="15920" width="0" style="49" hidden="1" customWidth="1"/>
    <col min="15921" max="16128" width="9.140625" style="49"/>
    <col min="16129" max="16129" width="98.85546875" style="49" customWidth="1"/>
    <col min="16130" max="16130" width="35.140625" style="49" bestFit="1" customWidth="1"/>
    <col min="16131" max="16139" width="0" style="49" hidden="1" customWidth="1"/>
    <col min="16140" max="16144" width="9" style="49" bestFit="1" customWidth="1"/>
    <col min="16145" max="16176" width="0" style="49" hidden="1" customWidth="1"/>
    <col min="16177" max="16384" width="9.140625" style="49"/>
  </cols>
  <sheetData>
    <row r="1" spans="1:53" ht="12.75" customHeight="1">
      <c r="A1" s="48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3"/>
      <c r="O1" s="143"/>
      <c r="P1" s="144"/>
      <c r="Q1" s="51"/>
    </row>
    <row r="2" spans="1:53" s="146" customFormat="1" ht="32.25" customHeight="1" thickBot="1">
      <c r="A2" s="423" t="s">
        <v>446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145"/>
      <c r="AW2" s="424"/>
      <c r="AX2" s="424"/>
      <c r="AY2" s="424"/>
      <c r="AZ2" s="424"/>
      <c r="BA2" s="424"/>
    </row>
    <row r="3" spans="1:53" s="146" customFormat="1">
      <c r="A3" s="425" t="s">
        <v>216</v>
      </c>
      <c r="B3" s="427" t="s">
        <v>217</v>
      </c>
      <c r="C3" s="103" t="s">
        <v>218</v>
      </c>
      <c r="D3" s="103" t="s">
        <v>218</v>
      </c>
      <c r="E3" s="103" t="s">
        <v>218</v>
      </c>
      <c r="F3" s="103" t="s">
        <v>218</v>
      </c>
      <c r="G3" s="103" t="s">
        <v>218</v>
      </c>
      <c r="H3" s="103" t="s">
        <v>218</v>
      </c>
      <c r="I3" s="103" t="s">
        <v>218</v>
      </c>
      <c r="J3" s="103" t="s">
        <v>218</v>
      </c>
      <c r="K3" s="103" t="s">
        <v>218</v>
      </c>
      <c r="L3" s="103" t="s">
        <v>218</v>
      </c>
      <c r="M3" s="103" t="s">
        <v>219</v>
      </c>
      <c r="N3" s="427" t="s">
        <v>220</v>
      </c>
      <c r="O3" s="429"/>
      <c r="P3" s="430"/>
      <c r="Q3" s="145"/>
    </row>
    <row r="4" spans="1:53" s="146" customFormat="1" ht="18.75" customHeight="1">
      <c r="A4" s="426"/>
      <c r="B4" s="428"/>
      <c r="C4" s="147" t="s">
        <v>221</v>
      </c>
      <c r="D4" s="147" t="s">
        <v>222</v>
      </c>
      <c r="E4" s="147" t="s">
        <v>223</v>
      </c>
      <c r="F4" s="147" t="s">
        <v>224</v>
      </c>
      <c r="G4" s="147" t="s">
        <v>225</v>
      </c>
      <c r="H4" s="147" t="s">
        <v>226</v>
      </c>
      <c r="I4" s="147" t="s">
        <v>227</v>
      </c>
      <c r="J4" s="147" t="s">
        <v>228</v>
      </c>
      <c r="K4" s="147" t="s">
        <v>229</v>
      </c>
      <c r="L4" s="147">
        <v>2017</v>
      </c>
      <c r="M4" s="147" t="s">
        <v>230</v>
      </c>
      <c r="N4" s="147" t="s">
        <v>317</v>
      </c>
      <c r="O4" s="147" t="s">
        <v>418</v>
      </c>
      <c r="P4" s="52" t="s">
        <v>447</v>
      </c>
      <c r="Q4" s="148"/>
      <c r="R4" s="149"/>
      <c r="S4" s="150"/>
    </row>
    <row r="5" spans="1:53" s="146" customFormat="1" ht="16.5" customHeight="1">
      <c r="A5" s="420" t="s">
        <v>448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2"/>
      <c r="Q5" s="151"/>
      <c r="R5" s="152"/>
    </row>
    <row r="6" spans="1:53" s="162" customFormat="1" ht="15">
      <c r="A6" s="153" t="s">
        <v>231</v>
      </c>
      <c r="B6" s="154" t="s">
        <v>232</v>
      </c>
      <c r="C6" s="155">
        <v>6.0190000000000001</v>
      </c>
      <c r="D6" s="156">
        <v>5.8970000000000002</v>
      </c>
      <c r="E6" s="156">
        <v>5.2770000000000001</v>
      </c>
      <c r="F6" s="156">
        <v>5.3520000000000003</v>
      </c>
      <c r="G6" s="156">
        <v>5.141</v>
      </c>
      <c r="H6" s="157">
        <v>5.1970000000000001</v>
      </c>
      <c r="I6" s="157">
        <v>5.1219999999999999</v>
      </c>
      <c r="J6" s="157">
        <v>4.8140000000000001</v>
      </c>
      <c r="K6" s="157">
        <v>4.6920000000000002</v>
      </c>
      <c r="L6" s="157">
        <v>4.734</v>
      </c>
      <c r="M6" s="157">
        <v>4.75</v>
      </c>
      <c r="N6" s="157">
        <v>4.8</v>
      </c>
      <c r="O6" s="157">
        <v>4.8499999999999996</v>
      </c>
      <c r="P6" s="158">
        <v>4.9000000000000004</v>
      </c>
      <c r="Q6" s="159"/>
      <c r="R6" s="160">
        <f>M6+L6</f>
        <v>9.484</v>
      </c>
      <c r="S6" s="161"/>
    </row>
    <row r="7" spans="1:53" s="162" customFormat="1" ht="15">
      <c r="A7" s="431" t="s">
        <v>233</v>
      </c>
      <c r="B7" s="432"/>
      <c r="C7" s="163">
        <f>SUM((C6/(2202+3923)*100))</f>
        <v>9.8269387755102036E-2</v>
      </c>
      <c r="D7" s="163">
        <f>SUM(D6/C6*100)</f>
        <v>97.973085230104672</v>
      </c>
      <c r="E7" s="164">
        <f>SUM((E6/D6)*100)</f>
        <v>89.486179413260984</v>
      </c>
      <c r="F7" s="164">
        <f>SUM((F6/E6)*100)</f>
        <v>101.42126208072769</v>
      </c>
      <c r="G7" s="164">
        <f t="shared" ref="G7:M7" si="0">SUM(G6/F6*100)</f>
        <v>96.057548579970103</v>
      </c>
      <c r="H7" s="164">
        <f t="shared" si="0"/>
        <v>101.08928224080917</v>
      </c>
      <c r="I7" s="164">
        <f t="shared" si="0"/>
        <v>98.556859726765438</v>
      </c>
      <c r="J7" s="165">
        <f t="shared" si="0"/>
        <v>93.986723935962516</v>
      </c>
      <c r="K7" s="165">
        <f t="shared" si="0"/>
        <v>97.465724968840888</v>
      </c>
      <c r="L7" s="165">
        <f t="shared" si="0"/>
        <v>100.89514066496163</v>
      </c>
      <c r="M7" s="165">
        <f t="shared" si="0"/>
        <v>100.33798056611745</v>
      </c>
      <c r="N7" s="165">
        <f>SUM(N6/M6*100)</f>
        <v>101.05263157894737</v>
      </c>
      <c r="O7" s="165">
        <f>SUM((O6/N6)*100)</f>
        <v>101.04166666666667</v>
      </c>
      <c r="P7" s="166">
        <f>SUM((P6/O6)*100)</f>
        <v>101.03092783505157</v>
      </c>
      <c r="Q7" s="167"/>
      <c r="R7" s="160">
        <f>R6/2</f>
        <v>4.742</v>
      </c>
    </row>
    <row r="8" spans="1:53" s="162" customFormat="1" ht="15">
      <c r="A8" s="153" t="s">
        <v>234</v>
      </c>
      <c r="B8" s="154" t="s">
        <v>232</v>
      </c>
      <c r="C8" s="155">
        <f>492+652+2349</f>
        <v>3493</v>
      </c>
      <c r="D8" s="156">
        <v>3.4350000000000001</v>
      </c>
      <c r="E8" s="156">
        <v>3.258</v>
      </c>
      <c r="F8" s="156">
        <v>3.1680000000000001</v>
      </c>
      <c r="G8" s="156">
        <v>3.0579999999999998</v>
      </c>
      <c r="H8" s="157">
        <v>3.1930000000000001</v>
      </c>
      <c r="I8" s="157">
        <v>3.2</v>
      </c>
      <c r="J8" s="157">
        <f>2.815+0.155</f>
        <v>2.9699999999999998</v>
      </c>
      <c r="K8" s="157">
        <v>2.86</v>
      </c>
      <c r="L8" s="157">
        <v>3.0390000000000001</v>
      </c>
      <c r="M8" s="157">
        <v>3.0449999999999999</v>
      </c>
      <c r="N8" s="157">
        <v>3.05</v>
      </c>
      <c r="O8" s="157">
        <v>3.08</v>
      </c>
      <c r="P8" s="158">
        <v>3.1</v>
      </c>
      <c r="Q8" s="159"/>
      <c r="R8" s="160"/>
    </row>
    <row r="9" spans="1:53" s="162" customFormat="1" ht="15">
      <c r="A9" s="431" t="s">
        <v>233</v>
      </c>
      <c r="B9" s="432"/>
      <c r="C9" s="164">
        <f>SUM(C8/3559*100)</f>
        <v>98.14554650182636</v>
      </c>
      <c r="D9" s="164">
        <f>SUM(D8/C8*100)</f>
        <v>9.8339536215287709E-2</v>
      </c>
      <c r="E9" s="164">
        <f>SUM(E8/D8*100)</f>
        <v>94.8471615720524</v>
      </c>
      <c r="F9" s="164">
        <f>SUM(F8/E8*100)</f>
        <v>97.237569060773481</v>
      </c>
      <c r="G9" s="164">
        <f t="shared" ref="G9:M9" si="1">SUM(G8/F8*100)</f>
        <v>96.527777777777771</v>
      </c>
      <c r="H9" s="164">
        <f t="shared" si="1"/>
        <v>104.41465009810334</v>
      </c>
      <c r="I9" s="164">
        <f t="shared" si="1"/>
        <v>100.21922956467273</v>
      </c>
      <c r="J9" s="165">
        <f t="shared" si="1"/>
        <v>92.812499999999986</v>
      </c>
      <c r="K9" s="165">
        <f t="shared" si="1"/>
        <v>96.296296296296305</v>
      </c>
      <c r="L9" s="165">
        <f t="shared" si="1"/>
        <v>106.25874125874127</v>
      </c>
      <c r="M9" s="165">
        <f t="shared" si="1"/>
        <v>100.1974333662389</v>
      </c>
      <c r="N9" s="165">
        <f>SUM(N8/M8*100)</f>
        <v>100.16420361247947</v>
      </c>
      <c r="O9" s="165">
        <f>SUM(O8/N8*100)</f>
        <v>100.98360655737706</v>
      </c>
      <c r="P9" s="166">
        <f>SUM(P8/O8*100)</f>
        <v>100.64935064935065</v>
      </c>
      <c r="Q9" s="168"/>
      <c r="R9" s="169"/>
    </row>
    <row r="10" spans="1:53" s="162" customFormat="1" ht="15">
      <c r="A10" s="153" t="s">
        <v>235</v>
      </c>
      <c r="B10" s="154" t="s">
        <v>232</v>
      </c>
      <c r="C10" s="155">
        <f t="shared" ref="C10:P10" si="2">C6-C8</f>
        <v>-3486.9810000000002</v>
      </c>
      <c r="D10" s="156">
        <f t="shared" si="2"/>
        <v>2.4620000000000002</v>
      </c>
      <c r="E10" s="156">
        <f>E6-E8</f>
        <v>2.0190000000000001</v>
      </c>
      <c r="F10" s="156">
        <f>F6-F8</f>
        <v>2.1840000000000002</v>
      </c>
      <c r="G10" s="156">
        <f t="shared" si="2"/>
        <v>2.0830000000000002</v>
      </c>
      <c r="H10" s="157">
        <f>H6-H8+0.01</f>
        <v>2.0139999999999998</v>
      </c>
      <c r="I10" s="157">
        <f>I6-I8</f>
        <v>1.9219999999999997</v>
      </c>
      <c r="J10" s="157">
        <f t="shared" si="2"/>
        <v>1.8440000000000003</v>
      </c>
      <c r="K10" s="157">
        <f t="shared" si="2"/>
        <v>1.8320000000000003</v>
      </c>
      <c r="L10" s="157">
        <f>L6-L8</f>
        <v>1.6949999999999998</v>
      </c>
      <c r="M10" s="157">
        <f>M6-M8</f>
        <v>1.7050000000000001</v>
      </c>
      <c r="N10" s="157">
        <f t="shared" si="2"/>
        <v>1.75</v>
      </c>
      <c r="O10" s="157">
        <f t="shared" si="2"/>
        <v>1.7699999999999996</v>
      </c>
      <c r="P10" s="158">
        <f t="shared" si="2"/>
        <v>1.8000000000000003</v>
      </c>
      <c r="Q10" s="170"/>
      <c r="R10" s="170"/>
      <c r="S10" s="171"/>
      <c r="T10" s="171"/>
      <c r="U10" s="171"/>
      <c r="V10" s="171"/>
    </row>
    <row r="11" spans="1:53" s="146" customFormat="1" ht="16.5" customHeight="1">
      <c r="A11" s="420" t="s">
        <v>236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2"/>
      <c r="Q11" s="151"/>
      <c r="R11" s="172"/>
      <c r="S11" s="173"/>
      <c r="T11" s="173"/>
      <c r="U11" s="173"/>
      <c r="V11" s="173"/>
    </row>
    <row r="12" spans="1:53" s="162" customFormat="1" ht="15">
      <c r="A12" s="433" t="s">
        <v>449</v>
      </c>
      <c r="B12" s="434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6"/>
      <c r="Q12" s="174"/>
      <c r="R12" s="175"/>
      <c r="S12" s="171"/>
      <c r="T12" s="171"/>
      <c r="U12" s="171"/>
      <c r="V12" s="176"/>
    </row>
    <row r="13" spans="1:53" s="162" customFormat="1" ht="15">
      <c r="A13" s="177" t="s">
        <v>237</v>
      </c>
      <c r="B13" s="178" t="s">
        <v>238</v>
      </c>
      <c r="C13" s="179">
        <f>182.842+293.508+176.248+7.989+380.445+34.892+62.635+2.06</f>
        <v>1140.6189999999999</v>
      </c>
      <c r="D13" s="179">
        <v>1879.3</v>
      </c>
      <c r="E13" s="179">
        <f>390.6+793.14*1000*1700/1000000</f>
        <v>1738.9380000000001</v>
      </c>
      <c r="F13" s="179">
        <f>413+413+837.79*1000*1700/1000000</f>
        <v>2250.2429999999999</v>
      </c>
      <c r="G13" s="180">
        <f>617.4+607.4+1089.505*1000*1600/1000000</f>
        <v>2968.0079999999998</v>
      </c>
      <c r="H13" s="180">
        <f>655.1+381+1072*1000*1400/1000000</f>
        <v>2536.8999999999996</v>
      </c>
      <c r="I13" s="180">
        <f>668.3+368+1047.144*1000*1729/1000000</f>
        <v>2846.811976</v>
      </c>
      <c r="J13" s="180">
        <f>680.4+433.3+1007.06*1000*2329.75/1000000</f>
        <v>3459.8980350000002</v>
      </c>
      <c r="K13" s="180">
        <f>700+492.8+202.7+985.788*1000*2260.43/1000000</f>
        <v>3623.8047688399997</v>
      </c>
      <c r="L13" s="181">
        <f>526.814+370.2+178.597+1063.659*1000*2366/1000000</f>
        <v>3592.2281939999998</v>
      </c>
      <c r="M13" s="181">
        <f>574.495+368.8+193.254+1063.659*1000*2620/1000000</f>
        <v>3923.3355799999999</v>
      </c>
      <c r="N13" s="181">
        <f>658.809+379+189.829+1100*1000*2650/1000000</f>
        <v>4142.6379999999999</v>
      </c>
      <c r="O13" s="181">
        <f>(600+438+189)*101%+(1100*1000*2700/1000000)</f>
        <v>4209.2700000000004</v>
      </c>
      <c r="P13" s="182">
        <f>(600+438+189)*102%+(1100*1000*2750/1000000)</f>
        <v>4276.54</v>
      </c>
      <c r="Q13" s="183"/>
      <c r="R13" s="175"/>
      <c r="S13" s="184"/>
      <c r="T13" s="185"/>
      <c r="Y13" s="186"/>
    </row>
    <row r="14" spans="1:53" s="162" customFormat="1" ht="15">
      <c r="A14" s="431" t="s">
        <v>239</v>
      </c>
      <c r="B14" s="432"/>
      <c r="C14" s="187"/>
      <c r="D14" s="187">
        <f t="shared" ref="D14:P14" si="3">D13/C13*100</f>
        <v>164.76141463538659</v>
      </c>
      <c r="E14" s="187">
        <f t="shared" si="3"/>
        <v>92.53115521736818</v>
      </c>
      <c r="F14" s="187">
        <f t="shared" si="3"/>
        <v>129.40329097414627</v>
      </c>
      <c r="G14" s="187">
        <f t="shared" si="3"/>
        <v>131.89722176671586</v>
      </c>
      <c r="H14" s="187">
        <f t="shared" si="3"/>
        <v>85.47483699504852</v>
      </c>
      <c r="I14" s="187">
        <f t="shared" si="3"/>
        <v>112.21616839449725</v>
      </c>
      <c r="J14" s="188">
        <f t="shared" si="3"/>
        <v>121.53588168690493</v>
      </c>
      <c r="K14" s="188">
        <f t="shared" si="3"/>
        <v>104.73732844673268</v>
      </c>
      <c r="L14" s="188">
        <f t="shared" si="3"/>
        <v>99.128634767757987</v>
      </c>
      <c r="M14" s="188">
        <f t="shared" si="3"/>
        <v>109.21732607502608</v>
      </c>
      <c r="N14" s="188">
        <f t="shared" si="3"/>
        <v>105.58969314574922</v>
      </c>
      <c r="O14" s="188">
        <f t="shared" si="3"/>
        <v>101.60844370181515</v>
      </c>
      <c r="P14" s="189">
        <f t="shared" si="3"/>
        <v>101.598139344827</v>
      </c>
      <c r="Q14" s="190"/>
      <c r="R14" s="175"/>
      <c r="S14" s="171"/>
      <c r="T14" s="171"/>
      <c r="U14" s="171"/>
      <c r="V14" s="171"/>
      <c r="Y14" s="191"/>
      <c r="Z14" s="186"/>
    </row>
    <row r="15" spans="1:53" s="162" customFormat="1" ht="15">
      <c r="A15" s="433" t="s">
        <v>241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6"/>
      <c r="Q15" s="174"/>
      <c r="R15" s="175"/>
      <c r="S15" s="171"/>
      <c r="T15" s="171"/>
      <c r="U15" s="171"/>
      <c r="V15" s="171"/>
    </row>
    <row r="16" spans="1:53" s="162" customFormat="1" ht="15">
      <c r="A16" s="433" t="s">
        <v>450</v>
      </c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6"/>
      <c r="Q16" s="174"/>
      <c r="R16" s="175"/>
      <c r="S16" s="171"/>
    </row>
    <row r="17" spans="1:18" s="162" customFormat="1" ht="15">
      <c r="A17" s="153" t="s">
        <v>237</v>
      </c>
      <c r="B17" s="178" t="s">
        <v>242</v>
      </c>
      <c r="C17" s="192">
        <f>293.508+34.892</f>
        <v>328.4</v>
      </c>
      <c r="D17" s="192">
        <v>409.4</v>
      </c>
      <c r="E17" s="192">
        <f>390.6</f>
        <v>390.6</v>
      </c>
      <c r="F17" s="192">
        <f>413+53.4</f>
        <v>466.4</v>
      </c>
      <c r="G17" s="192">
        <f>617.4+94.6</f>
        <v>712</v>
      </c>
      <c r="H17" s="192">
        <f>655.1+71</f>
        <v>726.1</v>
      </c>
      <c r="I17" s="192">
        <v>735.3</v>
      </c>
      <c r="J17" s="192">
        <v>785</v>
      </c>
      <c r="K17" s="192">
        <f>391+121.3</f>
        <v>512.29999999999995</v>
      </c>
      <c r="L17" s="192">
        <f>180.73+33.7</f>
        <v>214.43</v>
      </c>
      <c r="M17" s="192">
        <f>196.848+33</f>
        <v>229.84800000000001</v>
      </c>
      <c r="N17" s="192">
        <f>231.817+34</f>
        <v>265.81700000000001</v>
      </c>
      <c r="O17" s="192">
        <v>270</v>
      </c>
      <c r="P17" s="193">
        <v>290</v>
      </c>
      <c r="Q17" s="194"/>
      <c r="R17" s="195"/>
    </row>
    <row r="18" spans="1:18" s="162" customFormat="1" ht="15">
      <c r="A18" s="431" t="s">
        <v>239</v>
      </c>
      <c r="B18" s="432"/>
      <c r="C18" s="196"/>
      <c r="D18" s="197">
        <f>SUM((D17/C17)*100)</f>
        <v>124.66504263093788</v>
      </c>
      <c r="E18" s="197">
        <f>SUM((E17/D17)*100)</f>
        <v>95.407914020517836</v>
      </c>
      <c r="F18" s="197">
        <f>SUM((F17/E17)*100)</f>
        <v>119.40604198668714</v>
      </c>
      <c r="G18" s="197">
        <f>SUM((G17/F17)*100)</f>
        <v>152.65866209262435</v>
      </c>
      <c r="H18" s="197">
        <f>SUM((H17/G17)*100)</f>
        <v>101.98033707865169</v>
      </c>
      <c r="I18" s="197">
        <f>SUM((I17/G17)*100)</f>
        <v>103.27247191011236</v>
      </c>
      <c r="J18" s="197">
        <f t="shared" ref="J18:P18" si="4">SUM((J17/I17)*100)</f>
        <v>106.7591459268326</v>
      </c>
      <c r="K18" s="197">
        <f t="shared" si="4"/>
        <v>65.261146496815286</v>
      </c>
      <c r="L18" s="197">
        <f t="shared" si="4"/>
        <v>41.856334179191883</v>
      </c>
      <c r="M18" s="197">
        <f t="shared" si="4"/>
        <v>107.19022524833279</v>
      </c>
      <c r="N18" s="197">
        <f>SUM((N17/M17)*100)</f>
        <v>115.64903762486512</v>
      </c>
      <c r="O18" s="197">
        <f t="shared" si="4"/>
        <v>101.57363900728697</v>
      </c>
      <c r="P18" s="198">
        <f t="shared" si="4"/>
        <v>107.40740740740742</v>
      </c>
      <c r="Q18" s="199"/>
      <c r="R18" s="195"/>
    </row>
    <row r="19" spans="1:18" s="162" customFormat="1" ht="15">
      <c r="A19" s="433" t="s">
        <v>244</v>
      </c>
      <c r="B19" s="434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6"/>
      <c r="Q19" s="199"/>
      <c r="R19" s="195"/>
    </row>
    <row r="20" spans="1:18" s="162" customFormat="1" ht="15">
      <c r="A20" s="200" t="s">
        <v>245</v>
      </c>
      <c r="B20" s="201" t="s">
        <v>246</v>
      </c>
      <c r="C20" s="202">
        <v>57967</v>
      </c>
      <c r="D20" s="202">
        <v>66121.3</v>
      </c>
      <c r="E20" s="202">
        <v>54347</v>
      </c>
      <c r="F20" s="202">
        <f>10632.264+49729</f>
        <v>60361.263999999996</v>
      </c>
      <c r="G20" s="202">
        <f>4392.586+42492</f>
        <v>46884.586000000003</v>
      </c>
      <c r="H20" s="203">
        <f>51433+9743.1</f>
        <v>61176.1</v>
      </c>
      <c r="I20" s="203">
        <v>58285.55</v>
      </c>
      <c r="J20" s="203">
        <v>55581.7</v>
      </c>
      <c r="K20" s="203">
        <v>49971.5</v>
      </c>
      <c r="L20" s="204">
        <v>50900.7</v>
      </c>
      <c r="M20" s="204">
        <v>52441.1</v>
      </c>
      <c r="N20" s="204">
        <v>55325</v>
      </c>
      <c r="O20" s="204">
        <v>55878.25</v>
      </c>
      <c r="P20" s="205">
        <v>56437</v>
      </c>
      <c r="Q20" s="199"/>
      <c r="R20" s="195"/>
    </row>
    <row r="21" spans="1:18" s="162" customFormat="1" ht="15">
      <c r="A21" s="437" t="s">
        <v>247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6"/>
      <c r="Q21" s="199"/>
      <c r="R21" s="195"/>
    </row>
    <row r="22" spans="1:18" s="162" customFormat="1" ht="15">
      <c r="A22" s="200" t="s">
        <v>451</v>
      </c>
      <c r="B22" s="206" t="s">
        <v>246</v>
      </c>
      <c r="C22" s="202">
        <f>1429.2+47882.6</f>
        <v>49311.799999999996</v>
      </c>
      <c r="D22" s="202">
        <v>51481.7</v>
      </c>
      <c r="E22" s="202">
        <v>46850</v>
      </c>
      <c r="F22" s="202">
        <f>536.883+42338</f>
        <v>42874.883000000002</v>
      </c>
      <c r="G22" s="202">
        <f>876.06+35020</f>
        <v>35896.06</v>
      </c>
      <c r="H22" s="203">
        <f>28334</f>
        <v>28334</v>
      </c>
      <c r="I22" s="203">
        <v>41104</v>
      </c>
      <c r="J22" s="203">
        <v>41845.9</v>
      </c>
      <c r="K22" s="203">
        <v>35997.5</v>
      </c>
      <c r="L22" s="203">
        <v>39766.5</v>
      </c>
      <c r="M22" s="203">
        <v>39250.5</v>
      </c>
      <c r="N22" s="203">
        <v>42500.1</v>
      </c>
      <c r="O22" s="203">
        <v>42925.1</v>
      </c>
      <c r="P22" s="207">
        <v>43354.35</v>
      </c>
      <c r="Q22" s="199"/>
      <c r="R22" s="195"/>
    </row>
    <row r="23" spans="1:18" s="162" customFormat="1" ht="15">
      <c r="A23" s="208" t="s">
        <v>452</v>
      </c>
      <c r="B23" s="206" t="s">
        <v>246</v>
      </c>
      <c r="C23" s="202">
        <f>63.6+74.94</f>
        <v>138.54</v>
      </c>
      <c r="D23" s="202">
        <v>168.1</v>
      </c>
      <c r="E23" s="202">
        <v>105</v>
      </c>
      <c r="F23" s="202">
        <f>61.894+92</f>
        <v>153.89400000000001</v>
      </c>
      <c r="G23" s="202">
        <f>48.665+86</f>
        <v>134.66499999999999</v>
      </c>
      <c r="H23" s="203">
        <f>154+61.4</f>
        <v>215.4</v>
      </c>
      <c r="I23" s="203">
        <v>184.3</v>
      </c>
      <c r="J23" s="203">
        <v>2130.8000000000002</v>
      </c>
      <c r="K23" s="203">
        <v>2212</v>
      </c>
      <c r="L23" s="203">
        <v>279.60000000000002</v>
      </c>
      <c r="M23" s="203">
        <v>487.7</v>
      </c>
      <c r="N23" s="203">
        <v>567.70000000000005</v>
      </c>
      <c r="O23" s="203">
        <v>573.38</v>
      </c>
      <c r="P23" s="207">
        <v>579.11</v>
      </c>
      <c r="Q23" s="199"/>
      <c r="R23" s="195"/>
    </row>
    <row r="24" spans="1:18" s="162" customFormat="1" ht="15">
      <c r="A24" s="200" t="s">
        <v>453</v>
      </c>
      <c r="B24" s="206" t="s">
        <v>246</v>
      </c>
      <c r="C24" s="202">
        <f>2314.7+2500.53</f>
        <v>4815.2299999999996</v>
      </c>
      <c r="D24" s="202">
        <v>4811.7</v>
      </c>
      <c r="E24" s="202">
        <v>3176</v>
      </c>
      <c r="F24" s="202">
        <f>1760.159+3386</f>
        <v>5146.1589999999997</v>
      </c>
      <c r="G24" s="202">
        <f>2081.551+3283</f>
        <v>5364.5509999999995</v>
      </c>
      <c r="H24" s="203">
        <f>3515+1941.2</f>
        <v>5456.2</v>
      </c>
      <c r="I24" s="203">
        <v>5248.3</v>
      </c>
      <c r="J24" s="203">
        <v>4733.8</v>
      </c>
      <c r="K24" s="203">
        <v>5132.1000000000004</v>
      </c>
      <c r="L24" s="203">
        <v>4829.8</v>
      </c>
      <c r="M24" s="203">
        <v>5059.8999999999996</v>
      </c>
      <c r="N24" s="203">
        <v>4935.6000000000004</v>
      </c>
      <c r="O24" s="203">
        <v>4984.96</v>
      </c>
      <c r="P24" s="207">
        <v>5034.8100000000004</v>
      </c>
      <c r="Q24" s="199"/>
      <c r="R24" s="195"/>
    </row>
    <row r="25" spans="1:18" s="162" customFormat="1" ht="15">
      <c r="A25" s="433" t="s">
        <v>454</v>
      </c>
      <c r="B25" s="434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6"/>
      <c r="Q25" s="174"/>
      <c r="R25" s="195"/>
    </row>
    <row r="26" spans="1:18" s="162" customFormat="1" ht="15">
      <c r="A26" s="153" t="s">
        <v>237</v>
      </c>
      <c r="B26" s="178" t="s">
        <v>242</v>
      </c>
      <c r="C26" s="209" t="e">
        <f>C29+C31+#REF!</f>
        <v>#REF!</v>
      </c>
      <c r="D26" s="209" t="e">
        <f>D29+D31+#REF!</f>
        <v>#REF!</v>
      </c>
      <c r="E26" s="209" t="e">
        <f>E29+E31+#REF!</f>
        <v>#REF!</v>
      </c>
      <c r="F26" s="209" t="e">
        <f>F29+F31+#REF!</f>
        <v>#REF!</v>
      </c>
      <c r="G26" s="209" t="e">
        <f>G29+G31+#REF!</f>
        <v>#REF!</v>
      </c>
      <c r="H26" s="209" t="e">
        <f>H29+H31+#REF!</f>
        <v>#REF!</v>
      </c>
      <c r="I26" s="209" t="e">
        <f>I29+I31+#REF!</f>
        <v>#REF!</v>
      </c>
      <c r="J26" s="209" t="e">
        <f>J29+J31+#REF!</f>
        <v>#REF!</v>
      </c>
      <c r="K26" s="209">
        <f t="shared" ref="K26:P26" si="5">K29+K31</f>
        <v>102.4</v>
      </c>
      <c r="L26" s="209">
        <f t="shared" si="5"/>
        <v>112.81</v>
      </c>
      <c r="M26" s="209">
        <f t="shared" si="5"/>
        <v>129.024</v>
      </c>
      <c r="N26" s="209">
        <f t="shared" si="5"/>
        <v>93.543999999999997</v>
      </c>
      <c r="O26" s="209">
        <f t="shared" si="5"/>
        <v>93.543999999999997</v>
      </c>
      <c r="P26" s="210">
        <f t="shared" si="5"/>
        <v>93.543999999999997</v>
      </c>
      <c r="Q26" s="211"/>
      <c r="R26" s="195"/>
    </row>
    <row r="27" spans="1:18" s="162" customFormat="1" ht="15">
      <c r="A27" s="431" t="s">
        <v>239</v>
      </c>
      <c r="B27" s="432"/>
      <c r="C27" s="196"/>
      <c r="D27" s="196" t="e">
        <f t="shared" ref="D27:J27" si="6">SUM(D26/C26*100)</f>
        <v>#REF!</v>
      </c>
      <c r="E27" s="196" t="e">
        <f t="shared" si="6"/>
        <v>#REF!</v>
      </c>
      <c r="F27" s="196" t="e">
        <f t="shared" si="6"/>
        <v>#REF!</v>
      </c>
      <c r="G27" s="196" t="e">
        <f t="shared" si="6"/>
        <v>#REF!</v>
      </c>
      <c r="H27" s="196" t="e">
        <f t="shared" si="6"/>
        <v>#REF!</v>
      </c>
      <c r="I27" s="212" t="e">
        <f t="shared" si="6"/>
        <v>#REF!</v>
      </c>
      <c r="J27" s="212" t="e">
        <f t="shared" si="6"/>
        <v>#REF!</v>
      </c>
      <c r="K27" s="213" t="e">
        <f>SUM((K26/J26)*100)</f>
        <v>#REF!</v>
      </c>
      <c r="L27" s="213">
        <f>SUM((L26/K26)*100)</f>
        <v>110.16601562499999</v>
      </c>
      <c r="M27" s="213">
        <f>SUM((M26/L26)*100)</f>
        <v>114.37283928729723</v>
      </c>
      <c r="N27" s="213">
        <f>SUM((N26/L26)*100)</f>
        <v>82.921726797269741</v>
      </c>
      <c r="O27" s="214">
        <f>SUM(O26/N26*100)</f>
        <v>100</v>
      </c>
      <c r="P27" s="215">
        <f>SUM(P26/O26*100)</f>
        <v>100</v>
      </c>
      <c r="Q27" s="216"/>
      <c r="R27" s="195"/>
    </row>
    <row r="28" spans="1:18" s="162" customFormat="1" ht="15">
      <c r="A28" s="433" t="s">
        <v>248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6"/>
      <c r="Q28" s="174"/>
      <c r="R28" s="195"/>
    </row>
    <row r="29" spans="1:18" s="162" customFormat="1" ht="15">
      <c r="A29" s="217" t="s">
        <v>455</v>
      </c>
      <c r="B29" s="218" t="s">
        <v>242</v>
      </c>
      <c r="C29" s="219">
        <f>3.347+6.669+5.35</f>
        <v>15.366</v>
      </c>
      <c r="D29" s="219">
        <f>11.488+12.184+8.1</f>
        <v>31.771999999999998</v>
      </c>
      <c r="E29" s="219">
        <f>8.945+13.078+20.346</f>
        <v>42.369</v>
      </c>
      <c r="F29" s="219">
        <f>20.038+14.913+23.332</f>
        <v>58.283000000000001</v>
      </c>
      <c r="G29" s="219">
        <f>27.952+6.418+14.505</f>
        <v>48.875000000000007</v>
      </c>
      <c r="H29" s="219">
        <v>50.9</v>
      </c>
      <c r="I29" s="219">
        <v>54.109000000000002</v>
      </c>
      <c r="J29" s="219">
        <v>74.712000000000003</v>
      </c>
      <c r="K29" s="219">
        <v>87</v>
      </c>
      <c r="L29" s="219">
        <v>87.182000000000002</v>
      </c>
      <c r="M29" s="219">
        <v>100.324</v>
      </c>
      <c r="N29" s="219">
        <v>63.543999999999997</v>
      </c>
      <c r="O29" s="219">
        <f>N29</f>
        <v>63.543999999999997</v>
      </c>
      <c r="P29" s="220">
        <f>N29</f>
        <v>63.543999999999997</v>
      </c>
      <c r="Q29" s="221"/>
      <c r="R29" s="195"/>
    </row>
    <row r="30" spans="1:18" s="162" customFormat="1" ht="15">
      <c r="A30" s="431" t="s">
        <v>239</v>
      </c>
      <c r="B30" s="432"/>
      <c r="C30" s="219"/>
      <c r="D30" s="222">
        <f t="shared" ref="D30:J30" si="7">SUM(D29/C29*100)</f>
        <v>206.76818950930627</v>
      </c>
      <c r="E30" s="222">
        <f t="shared" si="7"/>
        <v>133.35326702757143</v>
      </c>
      <c r="F30" s="222">
        <f t="shared" si="7"/>
        <v>137.56048054001747</v>
      </c>
      <c r="G30" s="222">
        <f t="shared" si="7"/>
        <v>83.858071821972118</v>
      </c>
      <c r="H30" s="222">
        <f t="shared" si="7"/>
        <v>104.14322250639385</v>
      </c>
      <c r="I30" s="222">
        <f t="shared" si="7"/>
        <v>106.30451866404715</v>
      </c>
      <c r="J30" s="223">
        <f t="shared" si="7"/>
        <v>138.0768448871722</v>
      </c>
      <c r="K30" s="213">
        <f>SUM((K29/J29)*100)</f>
        <v>116.44715708319949</v>
      </c>
      <c r="L30" s="213">
        <f>SUM((L29/K29)*100)</f>
        <v>100.20919540229885</v>
      </c>
      <c r="M30" s="213">
        <f>SUM((M29/L29)*100)</f>
        <v>115.07421256681425</v>
      </c>
      <c r="N30" s="213">
        <f>SUM((N29/L29)*100)</f>
        <v>72.886605033149038</v>
      </c>
      <c r="O30" s="223">
        <f>SUM(O29/N29*100)</f>
        <v>100</v>
      </c>
      <c r="P30" s="224">
        <f>SUM(P29/O29*100)</f>
        <v>100</v>
      </c>
      <c r="Q30" s="225"/>
      <c r="R30" s="195"/>
    </row>
    <row r="31" spans="1:18" s="162" customFormat="1" ht="15">
      <c r="A31" s="226" t="s">
        <v>456</v>
      </c>
      <c r="B31" s="218" t="s">
        <v>242</v>
      </c>
      <c r="C31" s="227">
        <f>0.109+0.011+0.414</f>
        <v>0.53400000000000003</v>
      </c>
      <c r="D31" s="228">
        <f>0.29</f>
        <v>0.28999999999999998</v>
      </c>
      <c r="E31" s="228">
        <v>10.467000000000001</v>
      </c>
      <c r="F31" s="228">
        <v>9.0830000000000002</v>
      </c>
      <c r="G31" s="228">
        <v>14.564</v>
      </c>
      <c r="H31" s="228">
        <v>16.64</v>
      </c>
      <c r="I31" s="228">
        <v>15.8</v>
      </c>
      <c r="J31" s="228">
        <v>16.701000000000001</v>
      </c>
      <c r="K31" s="228">
        <v>15.4</v>
      </c>
      <c r="L31" s="228">
        <v>25.628</v>
      </c>
      <c r="M31" s="228">
        <v>28.7</v>
      </c>
      <c r="N31" s="229">
        <v>30</v>
      </c>
      <c r="O31" s="228">
        <v>30</v>
      </c>
      <c r="P31" s="230">
        <v>30</v>
      </c>
      <c r="Q31" s="231"/>
      <c r="R31" s="195"/>
    </row>
    <row r="32" spans="1:18" s="162" customFormat="1" ht="15">
      <c r="A32" s="431" t="s">
        <v>239</v>
      </c>
      <c r="B32" s="432"/>
      <c r="C32" s="228"/>
      <c r="D32" s="232">
        <v>0</v>
      </c>
      <c r="E32" s="232">
        <v>0</v>
      </c>
      <c r="F32" s="223">
        <f t="shared" ref="F32:P32" si="8">SUM(F31/E31*100)</f>
        <v>86.777491162701821</v>
      </c>
      <c r="G32" s="223">
        <f t="shared" si="8"/>
        <v>160.34349884399427</v>
      </c>
      <c r="H32" s="223">
        <f t="shared" si="8"/>
        <v>114.25432573468828</v>
      </c>
      <c r="I32" s="223">
        <f>SUM(I31/H31*100)</f>
        <v>94.951923076923066</v>
      </c>
      <c r="J32" s="223">
        <f>SUM(J31/I31*100)</f>
        <v>105.70253164556962</v>
      </c>
      <c r="K32" s="213">
        <f>SUM((K31/J31)*100)</f>
        <v>92.210047302556731</v>
      </c>
      <c r="L32" s="213">
        <f>SUM((L31/K31)*100)</f>
        <v>166.41558441558442</v>
      </c>
      <c r="M32" s="213">
        <f>SUM((M31/L31)*100)</f>
        <v>111.9868893397846</v>
      </c>
      <c r="N32" s="213">
        <f>SUM((N31/M31)*100)</f>
        <v>104.52961672473869</v>
      </c>
      <c r="O32" s="223">
        <f t="shared" si="8"/>
        <v>100</v>
      </c>
      <c r="P32" s="224">
        <f t="shared" si="8"/>
        <v>100</v>
      </c>
      <c r="Q32" s="225"/>
      <c r="R32" s="195"/>
    </row>
    <row r="33" spans="1:18" s="162" customFormat="1" ht="15">
      <c r="A33" s="233" t="s">
        <v>457</v>
      </c>
      <c r="B33" s="178" t="s">
        <v>249</v>
      </c>
      <c r="C33" s="234">
        <v>4</v>
      </c>
      <c r="D33" s="234">
        <v>4</v>
      </c>
      <c r="E33" s="234">
        <v>4</v>
      </c>
      <c r="F33" s="234">
        <v>4</v>
      </c>
      <c r="G33" s="235">
        <f>G35+G36</f>
        <v>4</v>
      </c>
      <c r="H33" s="235">
        <v>4</v>
      </c>
      <c r="I33" s="235">
        <f t="shared" ref="I33:P33" si="9">I35+I36</f>
        <v>4</v>
      </c>
      <c r="J33" s="235">
        <f t="shared" si="9"/>
        <v>4</v>
      </c>
      <c r="K33" s="235">
        <f t="shared" si="9"/>
        <v>4</v>
      </c>
      <c r="L33" s="236">
        <f>L35+L36</f>
        <v>4</v>
      </c>
      <c r="M33" s="236">
        <v>4</v>
      </c>
      <c r="N33" s="236">
        <f t="shared" si="9"/>
        <v>4</v>
      </c>
      <c r="O33" s="236">
        <f t="shared" si="9"/>
        <v>4</v>
      </c>
      <c r="P33" s="237">
        <f t="shared" si="9"/>
        <v>4</v>
      </c>
      <c r="Q33" s="238"/>
      <c r="R33" s="195"/>
    </row>
    <row r="34" spans="1:18" s="162" customFormat="1" ht="15">
      <c r="A34" s="433" t="s">
        <v>248</v>
      </c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6"/>
      <c r="Q34" s="174"/>
      <c r="R34" s="195"/>
    </row>
    <row r="35" spans="1:18" s="162" customFormat="1" ht="15">
      <c r="A35" s="153" t="s">
        <v>458</v>
      </c>
      <c r="B35" s="154" t="s">
        <v>249</v>
      </c>
      <c r="C35" s="239">
        <v>3</v>
      </c>
      <c r="D35" s="239">
        <v>3</v>
      </c>
      <c r="E35" s="239">
        <v>3</v>
      </c>
      <c r="F35" s="239">
        <v>3</v>
      </c>
      <c r="G35" s="239">
        <v>3</v>
      </c>
      <c r="H35" s="239">
        <v>3</v>
      </c>
      <c r="I35" s="239">
        <v>3</v>
      </c>
      <c r="J35" s="239">
        <v>3</v>
      </c>
      <c r="K35" s="239">
        <v>3</v>
      </c>
      <c r="L35" s="239">
        <v>3</v>
      </c>
      <c r="M35" s="239">
        <v>3</v>
      </c>
      <c r="N35" s="239">
        <v>3</v>
      </c>
      <c r="O35" s="239">
        <v>3</v>
      </c>
      <c r="P35" s="240">
        <v>3</v>
      </c>
      <c r="Q35" s="238"/>
      <c r="R35" s="195"/>
    </row>
    <row r="36" spans="1:18" s="162" customFormat="1" ht="15">
      <c r="A36" s="153" t="s">
        <v>250</v>
      </c>
      <c r="B36" s="154" t="s">
        <v>249</v>
      </c>
      <c r="C36" s="239">
        <v>1</v>
      </c>
      <c r="D36" s="239">
        <v>1</v>
      </c>
      <c r="E36" s="239">
        <v>1</v>
      </c>
      <c r="F36" s="239">
        <v>1</v>
      </c>
      <c r="G36" s="239">
        <v>1</v>
      </c>
      <c r="H36" s="239">
        <v>1</v>
      </c>
      <c r="I36" s="239">
        <v>1</v>
      </c>
      <c r="J36" s="239">
        <v>1</v>
      </c>
      <c r="K36" s="239">
        <v>1</v>
      </c>
      <c r="L36" s="239">
        <v>1</v>
      </c>
      <c r="M36" s="239">
        <v>1</v>
      </c>
      <c r="N36" s="239">
        <v>1</v>
      </c>
      <c r="O36" s="239">
        <v>1</v>
      </c>
      <c r="P36" s="240">
        <v>1</v>
      </c>
      <c r="Q36" s="238"/>
      <c r="R36" s="195"/>
    </row>
    <row r="37" spans="1:18" s="162" customFormat="1" ht="15">
      <c r="A37" s="433" t="s">
        <v>243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6"/>
      <c r="Q37" s="175"/>
      <c r="R37" s="195"/>
    </row>
    <row r="38" spans="1:18" s="162" customFormat="1" ht="15">
      <c r="A38" s="153" t="s">
        <v>237</v>
      </c>
      <c r="B38" s="178" t="s">
        <v>242</v>
      </c>
      <c r="C38" s="241">
        <f>2.06+7.989</f>
        <v>10.048999999999999</v>
      </c>
      <c r="D38" s="242">
        <v>12.94</v>
      </c>
      <c r="E38" s="243">
        <f>6.1+10.5+3.3</f>
        <v>19.900000000000002</v>
      </c>
      <c r="F38" s="243">
        <f>8.8+2.77+0.263+9</f>
        <v>20.832999999999998</v>
      </c>
      <c r="G38" s="243">
        <f>1.2+8.1+3.5+7.8</f>
        <v>20.599999999999998</v>
      </c>
      <c r="H38" s="243">
        <v>19.43</v>
      </c>
      <c r="I38" s="243">
        <v>20.059999999999999</v>
      </c>
      <c r="J38" s="243">
        <v>24.61</v>
      </c>
      <c r="K38" s="243">
        <v>27.5</v>
      </c>
      <c r="L38" s="244">
        <f>L41+L42</f>
        <v>27.1</v>
      </c>
      <c r="M38" s="244">
        <f>M41+M42</f>
        <v>29.7</v>
      </c>
      <c r="N38" s="244">
        <f>N41+N42</f>
        <v>32.700000000000003</v>
      </c>
      <c r="O38" s="244">
        <f>O41+O42</f>
        <v>35.700000000000003</v>
      </c>
      <c r="P38" s="244">
        <f>P41+P42</f>
        <v>38.9</v>
      </c>
      <c r="Q38" s="175"/>
      <c r="R38" s="195"/>
    </row>
    <row r="39" spans="1:18" s="162" customFormat="1" ht="15">
      <c r="A39" s="431" t="s">
        <v>239</v>
      </c>
      <c r="B39" s="432"/>
      <c r="C39" s="245"/>
      <c r="D39" s="246">
        <f t="shared" ref="D39:J39" si="10">D38/C38*100</f>
        <v>128.76903174445218</v>
      </c>
      <c r="E39" s="187">
        <f t="shared" si="10"/>
        <v>153.78670788253478</v>
      </c>
      <c r="F39" s="187">
        <f t="shared" si="10"/>
        <v>104.68844221105526</v>
      </c>
      <c r="G39" s="187">
        <f t="shared" si="10"/>
        <v>98.881582105313683</v>
      </c>
      <c r="H39" s="187">
        <f t="shared" si="10"/>
        <v>94.320388349514573</v>
      </c>
      <c r="I39" s="187">
        <f t="shared" si="10"/>
        <v>103.24240864642304</v>
      </c>
      <c r="J39" s="188">
        <f t="shared" si="10"/>
        <v>122.68195413758724</v>
      </c>
      <c r="K39" s="213">
        <f>SUM((K38/J38)*100)</f>
        <v>111.74319382364892</v>
      </c>
      <c r="L39" s="213">
        <f>SUM((L38/K38)*100)</f>
        <v>98.545454545454547</v>
      </c>
      <c r="M39" s="213">
        <f>SUM((M38/L38)*100)</f>
        <v>109.59409594095939</v>
      </c>
      <c r="N39" s="213">
        <f>SUM((N38/M38)*100)</f>
        <v>110.10101010101012</v>
      </c>
      <c r="O39" s="188">
        <f>O38/N38*100</f>
        <v>109.1743119266055</v>
      </c>
      <c r="P39" s="189">
        <f>P38/O38*100</f>
        <v>108.96358543417367</v>
      </c>
      <c r="Q39" s="175"/>
      <c r="R39" s="195"/>
    </row>
    <row r="40" spans="1:18" s="162" customFormat="1" ht="15">
      <c r="A40" s="433" t="s">
        <v>248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9"/>
      <c r="O40" s="439"/>
      <c r="P40" s="436"/>
      <c r="Q40" s="175"/>
      <c r="R40" s="195"/>
    </row>
    <row r="41" spans="1:18" s="162" customFormat="1" ht="15">
      <c r="A41" s="153" t="s">
        <v>459</v>
      </c>
      <c r="B41" s="154" t="s">
        <v>266</v>
      </c>
      <c r="C41" s="245"/>
      <c r="D41" s="246"/>
      <c r="E41" s="187"/>
      <c r="F41" s="187"/>
      <c r="G41" s="187"/>
      <c r="H41" s="187"/>
      <c r="I41" s="187"/>
      <c r="J41" s="188"/>
      <c r="K41" s="213"/>
      <c r="L41" s="247">
        <v>17.8</v>
      </c>
      <c r="M41" s="247">
        <v>20</v>
      </c>
      <c r="N41" s="247">
        <v>22.000000000000004</v>
      </c>
      <c r="O41" s="248">
        <v>24.000000000000004</v>
      </c>
      <c r="P41" s="249">
        <v>26.2</v>
      </c>
      <c r="Q41" s="175"/>
      <c r="R41" s="195"/>
    </row>
    <row r="42" spans="1:18" s="162" customFormat="1" ht="15">
      <c r="A42" s="153" t="s">
        <v>460</v>
      </c>
      <c r="B42" s="154" t="s">
        <v>266</v>
      </c>
      <c r="C42" s="245"/>
      <c r="D42" s="246"/>
      <c r="E42" s="187"/>
      <c r="F42" s="187"/>
      <c r="G42" s="187"/>
      <c r="H42" s="187"/>
      <c r="I42" s="187"/>
      <c r="J42" s="188"/>
      <c r="K42" s="213"/>
      <c r="L42" s="243">
        <v>9.3000000000000007</v>
      </c>
      <c r="M42" s="243">
        <v>9.6999999999999993</v>
      </c>
      <c r="N42" s="243">
        <v>10.7</v>
      </c>
      <c r="O42" s="243">
        <v>11.7</v>
      </c>
      <c r="P42" s="250">
        <v>12.7</v>
      </c>
      <c r="Q42" s="175"/>
      <c r="R42" s="195"/>
    </row>
    <row r="43" spans="1:18" s="146" customFormat="1" ht="15.75" customHeight="1">
      <c r="A43" s="420" t="s">
        <v>461</v>
      </c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2"/>
      <c r="Q43" s="151"/>
      <c r="R43" s="152"/>
    </row>
    <row r="44" spans="1:18" s="162" customFormat="1" ht="31.5" customHeight="1">
      <c r="A44" s="153" t="s">
        <v>462</v>
      </c>
      <c r="B44" s="154" t="s">
        <v>252</v>
      </c>
      <c r="C44" s="239">
        <v>3.17</v>
      </c>
      <c r="D44" s="239">
        <v>3.17</v>
      </c>
      <c r="E44" s="239">
        <v>3.17</v>
      </c>
      <c r="F44" s="239">
        <v>3.17</v>
      </c>
      <c r="G44" s="239">
        <v>3.17</v>
      </c>
      <c r="H44" s="251">
        <v>3.17</v>
      </c>
      <c r="I44" s="251">
        <v>3.17</v>
      </c>
      <c r="J44" s="251">
        <v>3.17</v>
      </c>
      <c r="K44" s="251">
        <v>3.17</v>
      </c>
      <c r="L44" s="251">
        <v>3.17</v>
      </c>
      <c r="M44" s="251">
        <v>3.17</v>
      </c>
      <c r="N44" s="251">
        <v>3.17</v>
      </c>
      <c r="O44" s="251">
        <v>3.17</v>
      </c>
      <c r="P44" s="252">
        <v>3.17</v>
      </c>
      <c r="Q44" s="238"/>
      <c r="R44" s="195"/>
    </row>
    <row r="45" spans="1:18" s="146" customFormat="1" ht="15.75" customHeight="1">
      <c r="A45" s="420" t="s">
        <v>463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2"/>
      <c r="Q45" s="151"/>
      <c r="R45" s="152"/>
    </row>
    <row r="46" spans="1:18" s="162" customFormat="1" ht="31.5" customHeight="1">
      <c r="A46" s="253" t="s">
        <v>464</v>
      </c>
      <c r="B46" s="178" t="s">
        <v>249</v>
      </c>
      <c r="C46" s="254">
        <v>17</v>
      </c>
      <c r="D46" s="255">
        <v>17</v>
      </c>
      <c r="E46" s="254">
        <f t="shared" ref="E46:K46" si="11">E48+E52+E53+E54</f>
        <v>25</v>
      </c>
      <c r="F46" s="254">
        <f t="shared" si="11"/>
        <v>28</v>
      </c>
      <c r="G46" s="254">
        <f t="shared" si="11"/>
        <v>35</v>
      </c>
      <c r="H46" s="254">
        <f t="shared" si="11"/>
        <v>35</v>
      </c>
      <c r="I46" s="256">
        <f t="shared" si="11"/>
        <v>39</v>
      </c>
      <c r="J46" s="256">
        <f t="shared" si="11"/>
        <v>42</v>
      </c>
      <c r="K46" s="256">
        <f t="shared" si="11"/>
        <v>40</v>
      </c>
      <c r="L46" s="256">
        <v>102</v>
      </c>
      <c r="M46" s="256">
        <v>104</v>
      </c>
      <c r="N46" s="256">
        <v>104</v>
      </c>
      <c r="O46" s="256">
        <v>106</v>
      </c>
      <c r="P46" s="257">
        <v>106</v>
      </c>
      <c r="Q46" s="258"/>
      <c r="R46" s="195"/>
    </row>
    <row r="47" spans="1:18" s="162" customFormat="1" ht="15">
      <c r="A47" s="440" t="s">
        <v>465</v>
      </c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6"/>
      <c r="Q47" s="174"/>
      <c r="R47" s="195"/>
    </row>
    <row r="48" spans="1:18" s="162" customFormat="1" ht="15">
      <c r="A48" s="153" t="s">
        <v>258</v>
      </c>
      <c r="B48" s="154" t="s">
        <v>240</v>
      </c>
      <c r="C48" s="259">
        <v>4</v>
      </c>
      <c r="D48" s="260">
        <v>3</v>
      </c>
      <c r="E48" s="260">
        <v>4</v>
      </c>
      <c r="F48" s="260">
        <v>4</v>
      </c>
      <c r="G48" s="260">
        <v>4</v>
      </c>
      <c r="H48" s="260">
        <v>4</v>
      </c>
      <c r="I48" s="260">
        <v>4</v>
      </c>
      <c r="J48" s="260">
        <v>4</v>
      </c>
      <c r="K48" s="260"/>
      <c r="L48" s="260">
        <v>32.200000000000003</v>
      </c>
      <c r="M48" s="260">
        <v>32.700000000000003</v>
      </c>
      <c r="N48" s="260">
        <v>32.700000000000003</v>
      </c>
      <c r="O48" s="260">
        <v>33</v>
      </c>
      <c r="P48" s="261">
        <v>33</v>
      </c>
      <c r="Q48" s="238"/>
      <c r="R48" s="195"/>
    </row>
    <row r="49" spans="1:18" s="162" customFormat="1" ht="15">
      <c r="A49" s="153" t="s">
        <v>466</v>
      </c>
      <c r="B49" s="154" t="s">
        <v>240</v>
      </c>
      <c r="C49" s="259"/>
      <c r="D49" s="260"/>
      <c r="E49" s="260"/>
      <c r="F49" s="260"/>
      <c r="G49" s="260"/>
      <c r="H49" s="260"/>
      <c r="I49" s="260"/>
      <c r="J49" s="260"/>
      <c r="K49" s="260"/>
      <c r="L49" s="260">
        <v>24</v>
      </c>
      <c r="M49" s="260">
        <v>24</v>
      </c>
      <c r="N49" s="260">
        <v>24</v>
      </c>
      <c r="O49" s="260">
        <v>24</v>
      </c>
      <c r="P49" s="261">
        <v>24</v>
      </c>
      <c r="Q49" s="238"/>
      <c r="R49" s="195"/>
    </row>
    <row r="50" spans="1:18" s="162" customFormat="1" ht="15">
      <c r="A50" s="153" t="s">
        <v>257</v>
      </c>
      <c r="B50" s="154" t="s">
        <v>240</v>
      </c>
      <c r="C50" s="259"/>
      <c r="D50" s="260"/>
      <c r="E50" s="260"/>
      <c r="F50" s="260"/>
      <c r="G50" s="260"/>
      <c r="H50" s="260"/>
      <c r="I50" s="260"/>
      <c r="J50" s="260"/>
      <c r="K50" s="260"/>
      <c r="L50" s="260">
        <v>13</v>
      </c>
      <c r="M50" s="260">
        <v>12.5</v>
      </c>
      <c r="N50" s="260">
        <v>12.5</v>
      </c>
      <c r="O50" s="260">
        <v>12.5</v>
      </c>
      <c r="P50" s="261">
        <v>12.5</v>
      </c>
      <c r="Q50" s="238"/>
      <c r="R50" s="195"/>
    </row>
    <row r="51" spans="1:18" s="162" customFormat="1" ht="31.5" customHeight="1">
      <c r="A51" s="153" t="s">
        <v>467</v>
      </c>
      <c r="B51" s="154" t="s">
        <v>240</v>
      </c>
      <c r="C51" s="259"/>
      <c r="D51" s="260"/>
      <c r="E51" s="260"/>
      <c r="F51" s="260"/>
      <c r="G51" s="260"/>
      <c r="H51" s="260"/>
      <c r="I51" s="260"/>
      <c r="J51" s="260"/>
      <c r="K51" s="260"/>
      <c r="L51" s="260">
        <v>8.6999999999999993</v>
      </c>
      <c r="M51" s="260">
        <v>8.6999999999999993</v>
      </c>
      <c r="N51" s="260">
        <v>8.6999999999999993</v>
      </c>
      <c r="O51" s="260">
        <v>8.6999999999999993</v>
      </c>
      <c r="P51" s="261">
        <v>8.6999999999999993</v>
      </c>
      <c r="Q51" s="238"/>
      <c r="R51" s="195"/>
    </row>
    <row r="52" spans="1:18" s="162" customFormat="1" ht="15">
      <c r="A52" s="153" t="s">
        <v>256</v>
      </c>
      <c r="B52" s="154" t="s">
        <v>240</v>
      </c>
      <c r="C52" s="259">
        <v>12</v>
      </c>
      <c r="D52" s="260">
        <v>13</v>
      </c>
      <c r="E52" s="260">
        <v>17</v>
      </c>
      <c r="F52" s="260">
        <v>22</v>
      </c>
      <c r="G52" s="260">
        <v>29</v>
      </c>
      <c r="H52" s="260">
        <v>29</v>
      </c>
      <c r="I52" s="260">
        <v>30</v>
      </c>
      <c r="J52" s="260">
        <v>30</v>
      </c>
      <c r="K52" s="260">
        <v>31</v>
      </c>
      <c r="L52" s="260">
        <v>6.7</v>
      </c>
      <c r="M52" s="260">
        <v>6.7</v>
      </c>
      <c r="N52" s="260">
        <v>6.7</v>
      </c>
      <c r="O52" s="260">
        <v>6.7</v>
      </c>
      <c r="P52" s="261">
        <v>6.7</v>
      </c>
      <c r="Q52" s="238"/>
      <c r="R52" s="195"/>
    </row>
    <row r="53" spans="1:18" s="162" customFormat="1" ht="15">
      <c r="A53" s="153" t="s">
        <v>71</v>
      </c>
      <c r="B53" s="154" t="s">
        <v>240</v>
      </c>
      <c r="C53" s="262">
        <v>0</v>
      </c>
      <c r="D53" s="262">
        <v>0</v>
      </c>
      <c r="E53" s="262">
        <v>3</v>
      </c>
      <c r="F53" s="262">
        <v>2</v>
      </c>
      <c r="G53" s="262">
        <v>2</v>
      </c>
      <c r="H53" s="262">
        <v>2</v>
      </c>
      <c r="I53" s="262">
        <v>5</v>
      </c>
      <c r="J53" s="262">
        <v>8</v>
      </c>
      <c r="K53" s="262">
        <v>9</v>
      </c>
      <c r="L53" s="262">
        <v>4.8</v>
      </c>
      <c r="M53" s="263">
        <v>4.8</v>
      </c>
      <c r="N53" s="263">
        <v>4.8</v>
      </c>
      <c r="O53" s="263">
        <v>4.8</v>
      </c>
      <c r="P53" s="264">
        <v>4.8</v>
      </c>
      <c r="Q53" s="265"/>
      <c r="R53" s="195"/>
    </row>
    <row r="54" spans="1:18" s="162" customFormat="1" ht="15">
      <c r="A54" s="266" t="s">
        <v>468</v>
      </c>
      <c r="B54" s="267" t="s">
        <v>240</v>
      </c>
      <c r="C54" s="268">
        <v>1</v>
      </c>
      <c r="D54" s="269">
        <v>1</v>
      </c>
      <c r="E54" s="269">
        <v>1</v>
      </c>
      <c r="F54" s="269"/>
      <c r="G54" s="269"/>
      <c r="H54" s="269">
        <v>0</v>
      </c>
      <c r="I54" s="269"/>
      <c r="J54" s="269"/>
      <c r="K54" s="269"/>
      <c r="L54" s="269">
        <v>10.6</v>
      </c>
      <c r="M54" s="269">
        <v>10.6</v>
      </c>
      <c r="N54" s="269">
        <v>10.6</v>
      </c>
      <c r="O54" s="269">
        <v>10.3</v>
      </c>
      <c r="P54" s="270">
        <v>10.3</v>
      </c>
      <c r="Q54" s="238"/>
      <c r="R54" s="195"/>
    </row>
    <row r="55" spans="1:18" s="146" customFormat="1" ht="15.75" customHeight="1">
      <c r="A55" s="420" t="s">
        <v>469</v>
      </c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2"/>
      <c r="Q55" s="151"/>
      <c r="R55" s="152"/>
    </row>
    <row r="56" spans="1:18" s="162" customFormat="1" ht="15">
      <c r="A56" s="153" t="s">
        <v>470</v>
      </c>
      <c r="B56" s="154" t="s">
        <v>242</v>
      </c>
      <c r="C56" s="239"/>
      <c r="D56" s="239"/>
      <c r="E56" s="239"/>
      <c r="F56" s="239"/>
      <c r="G56" s="239"/>
      <c r="H56" s="251"/>
      <c r="I56" s="251"/>
      <c r="J56" s="251"/>
      <c r="K56" s="251"/>
      <c r="L56" s="251">
        <v>212.7</v>
      </c>
      <c r="M56" s="251">
        <v>335</v>
      </c>
      <c r="N56" s="251">
        <v>180</v>
      </c>
      <c r="O56" s="251">
        <v>200</v>
      </c>
      <c r="P56" s="252">
        <v>200</v>
      </c>
      <c r="Q56" s="238"/>
      <c r="R56" s="195"/>
    </row>
    <row r="57" spans="1:18" s="162" customFormat="1" ht="15">
      <c r="A57" s="153" t="s">
        <v>471</v>
      </c>
      <c r="B57" s="154" t="s">
        <v>242</v>
      </c>
      <c r="C57" s="239"/>
      <c r="D57" s="239"/>
      <c r="E57" s="239"/>
      <c r="F57" s="239"/>
      <c r="G57" s="239"/>
      <c r="H57" s="251"/>
      <c r="I57" s="251"/>
      <c r="J57" s="251"/>
      <c r="K57" s="251"/>
      <c r="L57" s="251">
        <v>60.8</v>
      </c>
      <c r="M57" s="251">
        <v>170.6</v>
      </c>
      <c r="N57" s="251">
        <v>6.9</v>
      </c>
      <c r="O57" s="251">
        <v>6.9</v>
      </c>
      <c r="P57" s="252">
        <v>6.9</v>
      </c>
      <c r="Q57" s="238"/>
      <c r="R57" s="195"/>
    </row>
    <row r="58" spans="1:18" s="162" customFormat="1" ht="30">
      <c r="A58" s="153" t="s">
        <v>421</v>
      </c>
      <c r="B58" s="154" t="s">
        <v>242</v>
      </c>
      <c r="C58" s="271"/>
      <c r="D58" s="271"/>
      <c r="E58" s="271"/>
      <c r="F58" s="271"/>
      <c r="G58" s="271"/>
      <c r="H58" s="271"/>
      <c r="I58" s="271"/>
      <c r="J58" s="271"/>
      <c r="K58" s="272">
        <v>0</v>
      </c>
      <c r="L58" s="273">
        <f>6.3+2</f>
        <v>8.3000000000000007</v>
      </c>
      <c r="M58" s="273">
        <v>124.1</v>
      </c>
      <c r="N58" s="272">
        <v>7.4</v>
      </c>
      <c r="O58" s="272">
        <v>1.8</v>
      </c>
      <c r="P58" s="274">
        <v>2.8</v>
      </c>
      <c r="Q58" s="275"/>
      <c r="R58" s="276"/>
    </row>
    <row r="59" spans="1:18" s="162" customFormat="1" ht="13.5" customHeight="1">
      <c r="A59" s="433" t="s">
        <v>254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6"/>
      <c r="Q59" s="174"/>
      <c r="R59" s="195"/>
    </row>
    <row r="60" spans="1:18" s="162" customFormat="1" ht="15">
      <c r="A60" s="177" t="s">
        <v>255</v>
      </c>
      <c r="B60" s="154" t="s">
        <v>242</v>
      </c>
      <c r="C60" s="277">
        <v>62.37</v>
      </c>
      <c r="D60" s="277">
        <v>72.38</v>
      </c>
      <c r="E60" s="239">
        <v>86.5</v>
      </c>
      <c r="F60" s="239">
        <v>41.2</v>
      </c>
      <c r="G60" s="239">
        <v>71.900000000000006</v>
      </c>
      <c r="H60" s="239">
        <v>81.400000000000006</v>
      </c>
      <c r="I60" s="239">
        <f>54.3</f>
        <v>54.3</v>
      </c>
      <c r="J60" s="239">
        <v>65.2</v>
      </c>
      <c r="K60" s="239">
        <v>97.8</v>
      </c>
      <c r="L60" s="239">
        <v>88.34</v>
      </c>
      <c r="M60" s="239">
        <f>94.4-23.3</f>
        <v>71.100000000000009</v>
      </c>
      <c r="N60" s="239">
        <v>88</v>
      </c>
      <c r="O60" s="202">
        <v>94.4</v>
      </c>
      <c r="P60" s="278">
        <v>94.4</v>
      </c>
      <c r="Q60" s="279"/>
      <c r="R60" s="195"/>
    </row>
    <row r="61" spans="1:18" s="146" customFormat="1" ht="15.75" customHeight="1">
      <c r="A61" s="420" t="s">
        <v>472</v>
      </c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280"/>
      <c r="Q61" s="172"/>
      <c r="R61" s="152"/>
    </row>
    <row r="62" spans="1:18" s="162" customFormat="1" ht="15">
      <c r="A62" s="253" t="s">
        <v>473</v>
      </c>
      <c r="B62" s="154" t="s">
        <v>253</v>
      </c>
      <c r="C62" s="239" t="e">
        <f>C63+C64+C65+C68+C69+C70+C71+#REF!+#REF!+#REF!+#REF!+#REF!+#REF!</f>
        <v>#REF!</v>
      </c>
      <c r="D62" s="239" t="e">
        <f>D63+D64+D65+D68+D69+D70+D71+#REF!+#REF!+#REF!+#REF!+#REF!+#REF!</f>
        <v>#REF!</v>
      </c>
      <c r="E62" s="239" t="e">
        <f>E63+E64+E65+E68+E69+E70+E71+#REF!+#REF!+#REF!+#REF!+#REF!+#REF!</f>
        <v>#REF!</v>
      </c>
      <c r="F62" s="239" t="e">
        <f>F63+F64+F65+F68+F69+F70+F71+#REF!+#REF!+#REF!+#REF!+#REF!+#REF!</f>
        <v>#REF!</v>
      </c>
      <c r="G62" s="239" t="e">
        <f>G63+G64+G65+G68+G69+G70+G71+#REF!+#REF!+#REF!+#REF!+#REF!+#REF!</f>
        <v>#REF!</v>
      </c>
      <c r="H62" s="239" t="e">
        <f>H63+H64+H65+H68+H69+H70+H71+#REF!+#REF!+#REF!+#REF!+#REF!+#REF!</f>
        <v>#REF!</v>
      </c>
      <c r="I62" s="239" t="e">
        <f>I63+I64+I65+I68+I69+I70+I71+#REF!+#REF!+#REF!+#REF!+#REF!+#REF!</f>
        <v>#REF!</v>
      </c>
      <c r="J62" s="239" t="e">
        <f>J63+J64+J65+J68+J69+J70+J71+#REF!+#REF!+#REF!+#REF!+#REF!+#REF!</f>
        <v>#REF!</v>
      </c>
      <c r="K62" s="239" t="e">
        <f>K63+K64+K65+K68+K69+K70+K71+#REF!+#REF!+#REF!+#REF!+#REF!+#REF!</f>
        <v>#REF!</v>
      </c>
      <c r="L62" s="239">
        <v>2509</v>
      </c>
      <c r="M62" s="239">
        <v>2560</v>
      </c>
      <c r="N62" s="239">
        <v>2600</v>
      </c>
      <c r="O62" s="239">
        <v>2600</v>
      </c>
      <c r="P62" s="240">
        <v>2600</v>
      </c>
      <c r="Q62" s="238"/>
      <c r="R62" s="195"/>
    </row>
    <row r="63" spans="1:18" s="162" customFormat="1" ht="15">
      <c r="A63" s="153" t="s">
        <v>474</v>
      </c>
      <c r="B63" s="154" t="s">
        <v>253</v>
      </c>
      <c r="C63" s="239">
        <f>208+130</f>
        <v>338</v>
      </c>
      <c r="D63" s="239">
        <v>320</v>
      </c>
      <c r="E63" s="239">
        <f>127+117</f>
        <v>244</v>
      </c>
      <c r="F63" s="239">
        <f>138+118</f>
        <v>256</v>
      </c>
      <c r="G63" s="239">
        <f>161+126</f>
        <v>287</v>
      </c>
      <c r="H63" s="239">
        <v>290</v>
      </c>
      <c r="I63" s="239">
        <v>255</v>
      </c>
      <c r="J63" s="239">
        <v>244</v>
      </c>
      <c r="K63" s="239">
        <v>285</v>
      </c>
      <c r="L63" s="239">
        <v>268</v>
      </c>
      <c r="M63" s="239">
        <v>270</v>
      </c>
      <c r="N63" s="239">
        <v>280</v>
      </c>
      <c r="O63" s="239">
        <v>280</v>
      </c>
      <c r="P63" s="240">
        <v>280</v>
      </c>
      <c r="Q63" s="238"/>
      <c r="R63" s="195"/>
    </row>
    <row r="64" spans="1:18" s="162" customFormat="1" ht="15">
      <c r="A64" s="153" t="s">
        <v>475</v>
      </c>
      <c r="B64" s="154" t="s">
        <v>253</v>
      </c>
      <c r="C64" s="239">
        <f>51+85</f>
        <v>136</v>
      </c>
      <c r="D64" s="239">
        <v>104</v>
      </c>
      <c r="E64" s="239">
        <v>70</v>
      </c>
      <c r="F64" s="239">
        <f>43+30</f>
        <v>73</v>
      </c>
      <c r="G64" s="239">
        <f>45+21</f>
        <v>66</v>
      </c>
      <c r="H64" s="239">
        <v>66</v>
      </c>
      <c r="I64" s="239">
        <v>77</v>
      </c>
      <c r="J64" s="239">
        <v>107</v>
      </c>
      <c r="K64" s="239">
        <v>143</v>
      </c>
      <c r="L64" s="239">
        <v>587</v>
      </c>
      <c r="M64" s="239">
        <v>600</v>
      </c>
      <c r="N64" s="239">
        <v>610</v>
      </c>
      <c r="O64" s="239">
        <v>610</v>
      </c>
      <c r="P64" s="240">
        <v>610</v>
      </c>
      <c r="Q64" s="238"/>
      <c r="R64" s="195"/>
    </row>
    <row r="65" spans="1:31" s="162" customFormat="1" ht="15">
      <c r="A65" s="153" t="s">
        <v>476</v>
      </c>
      <c r="B65" s="154" t="s">
        <v>253</v>
      </c>
      <c r="C65" s="239">
        <f>SUM(C66+C67)</f>
        <v>17</v>
      </c>
      <c r="D65" s="239">
        <f>SUM(D66+D67)</f>
        <v>16</v>
      </c>
      <c r="E65" s="239">
        <f>SUM(E66+E67)</f>
        <v>11</v>
      </c>
      <c r="F65" s="239">
        <f>SUM(F66+F67)</f>
        <v>12</v>
      </c>
      <c r="G65" s="239">
        <f>SUM(G66+G67)</f>
        <v>13</v>
      </c>
      <c r="H65" s="239">
        <f>H66+H67</f>
        <v>12</v>
      </c>
      <c r="I65" s="239">
        <f>I66+I67</f>
        <v>10</v>
      </c>
      <c r="J65" s="239">
        <f>J66+J67</f>
        <v>9</v>
      </c>
      <c r="K65" s="239">
        <f>K66+K67</f>
        <v>9</v>
      </c>
      <c r="L65" s="239">
        <v>140</v>
      </c>
      <c r="M65" s="239">
        <v>160</v>
      </c>
      <c r="N65" s="239">
        <v>170</v>
      </c>
      <c r="O65" s="239">
        <v>170</v>
      </c>
      <c r="P65" s="240">
        <v>170</v>
      </c>
      <c r="Q65" s="238"/>
      <c r="R65" s="195"/>
    </row>
    <row r="66" spans="1:31" s="162" customFormat="1" ht="15">
      <c r="A66" s="153" t="s">
        <v>477</v>
      </c>
      <c r="B66" s="154" t="s">
        <v>253</v>
      </c>
      <c r="C66" s="239">
        <v>10</v>
      </c>
      <c r="D66" s="239">
        <v>10</v>
      </c>
      <c r="E66" s="239">
        <v>6</v>
      </c>
      <c r="F66" s="239">
        <v>6</v>
      </c>
      <c r="G66" s="239">
        <v>7</v>
      </c>
      <c r="H66" s="239">
        <v>6</v>
      </c>
      <c r="I66" s="239">
        <v>5</v>
      </c>
      <c r="J66" s="239">
        <v>5</v>
      </c>
      <c r="K66" s="239">
        <v>5</v>
      </c>
      <c r="L66" s="239">
        <v>11</v>
      </c>
      <c r="M66" s="239">
        <v>12</v>
      </c>
      <c r="N66" s="239">
        <v>15</v>
      </c>
      <c r="O66" s="239">
        <v>15</v>
      </c>
      <c r="P66" s="240">
        <v>15</v>
      </c>
      <c r="Q66" s="238"/>
      <c r="R66" s="195"/>
    </row>
    <row r="67" spans="1:31" s="162" customFormat="1" ht="15">
      <c r="A67" s="153" t="s">
        <v>478</v>
      </c>
      <c r="B67" s="154" t="s">
        <v>253</v>
      </c>
      <c r="C67" s="239">
        <v>7</v>
      </c>
      <c r="D67" s="239">
        <v>6</v>
      </c>
      <c r="E67" s="239">
        <v>5</v>
      </c>
      <c r="F67" s="239">
        <v>6</v>
      </c>
      <c r="G67" s="239">
        <v>6</v>
      </c>
      <c r="H67" s="239">
        <v>6</v>
      </c>
      <c r="I67" s="239">
        <v>5</v>
      </c>
      <c r="J67" s="239">
        <v>4</v>
      </c>
      <c r="K67" s="239">
        <v>4</v>
      </c>
      <c r="L67" s="239">
        <v>251</v>
      </c>
      <c r="M67" s="239">
        <v>250</v>
      </c>
      <c r="N67" s="239">
        <v>260</v>
      </c>
      <c r="O67" s="239">
        <v>260</v>
      </c>
      <c r="P67" s="240">
        <v>260</v>
      </c>
      <c r="Q67" s="238"/>
      <c r="R67" s="195"/>
    </row>
    <row r="68" spans="1:31" s="162" customFormat="1" ht="15">
      <c r="A68" s="153" t="s">
        <v>99</v>
      </c>
      <c r="B68" s="154" t="s">
        <v>253</v>
      </c>
      <c r="C68" s="239">
        <f>162+309</f>
        <v>471</v>
      </c>
      <c r="D68" s="239">
        <v>485</v>
      </c>
      <c r="E68" s="239">
        <f>349+106</f>
        <v>455</v>
      </c>
      <c r="F68" s="239">
        <f>352+104</f>
        <v>456</v>
      </c>
      <c r="G68" s="239">
        <v>441</v>
      </c>
      <c r="H68" s="239">
        <v>439</v>
      </c>
      <c r="I68" s="239">
        <v>410</v>
      </c>
      <c r="J68" s="239">
        <v>334</v>
      </c>
      <c r="K68" s="239">
        <v>357</v>
      </c>
      <c r="L68" s="239">
        <v>384</v>
      </c>
      <c r="M68" s="239">
        <v>385</v>
      </c>
      <c r="N68" s="239">
        <v>400</v>
      </c>
      <c r="O68" s="239">
        <v>400</v>
      </c>
      <c r="P68" s="240">
        <v>400</v>
      </c>
      <c r="Q68" s="238"/>
      <c r="R68" s="195"/>
    </row>
    <row r="69" spans="1:31" s="162" customFormat="1" ht="15">
      <c r="A69" s="153" t="s">
        <v>479</v>
      </c>
      <c r="B69" s="154" t="s">
        <v>253</v>
      </c>
      <c r="C69" s="239">
        <v>438</v>
      </c>
      <c r="D69" s="239">
        <v>248</v>
      </c>
      <c r="E69" s="239">
        <v>202</v>
      </c>
      <c r="F69" s="239">
        <v>307</v>
      </c>
      <c r="G69" s="239">
        <v>414</v>
      </c>
      <c r="H69" s="239">
        <v>354</v>
      </c>
      <c r="I69" s="239">
        <v>256</v>
      </c>
      <c r="J69" s="239">
        <v>205</v>
      </c>
      <c r="K69" s="239">
        <v>248</v>
      </c>
      <c r="L69" s="239">
        <v>220</v>
      </c>
      <c r="M69" s="239">
        <v>230</v>
      </c>
      <c r="N69" s="239">
        <v>240</v>
      </c>
      <c r="O69" s="239">
        <v>240</v>
      </c>
      <c r="P69" s="240">
        <v>240</v>
      </c>
      <c r="Q69" s="238"/>
      <c r="R69" s="195"/>
    </row>
    <row r="70" spans="1:31" s="162" customFormat="1" ht="15">
      <c r="A70" s="153" t="s">
        <v>480</v>
      </c>
      <c r="B70" s="154" t="s">
        <v>253</v>
      </c>
      <c r="C70" s="239">
        <f>51+85</f>
        <v>136</v>
      </c>
      <c r="D70" s="239">
        <v>104</v>
      </c>
      <c r="E70" s="239">
        <v>70</v>
      </c>
      <c r="F70" s="239">
        <f>43+30</f>
        <v>73</v>
      </c>
      <c r="G70" s="239">
        <f>45+21</f>
        <v>66</v>
      </c>
      <c r="H70" s="239">
        <v>66</v>
      </c>
      <c r="I70" s="239">
        <v>77</v>
      </c>
      <c r="J70" s="239">
        <v>107</v>
      </c>
      <c r="K70" s="239">
        <v>143</v>
      </c>
      <c r="L70" s="239">
        <v>52</v>
      </c>
      <c r="M70" s="239">
        <v>55</v>
      </c>
      <c r="N70" s="239">
        <v>60</v>
      </c>
      <c r="O70" s="239">
        <v>60</v>
      </c>
      <c r="P70" s="240">
        <v>60</v>
      </c>
      <c r="Q70" s="238"/>
      <c r="R70" s="195"/>
      <c r="S70" s="195"/>
    </row>
    <row r="71" spans="1:31" s="162" customFormat="1" ht="15">
      <c r="A71" s="153" t="s">
        <v>257</v>
      </c>
      <c r="B71" s="154" t="s">
        <v>253</v>
      </c>
      <c r="C71" s="239">
        <f>1+7</f>
        <v>8</v>
      </c>
      <c r="D71" s="239">
        <v>6</v>
      </c>
      <c r="E71" s="239">
        <v>3</v>
      </c>
      <c r="F71" s="239">
        <v>3</v>
      </c>
      <c r="G71" s="239">
        <v>1</v>
      </c>
      <c r="H71" s="239">
        <v>1</v>
      </c>
      <c r="I71" s="239">
        <v>1</v>
      </c>
      <c r="J71" s="239">
        <v>1</v>
      </c>
      <c r="K71" s="239">
        <v>5</v>
      </c>
      <c r="L71" s="239">
        <v>124</v>
      </c>
      <c r="M71" s="239">
        <v>124</v>
      </c>
      <c r="N71" s="239">
        <v>130</v>
      </c>
      <c r="O71" s="239">
        <v>130</v>
      </c>
      <c r="P71" s="240">
        <v>130</v>
      </c>
      <c r="Q71" s="238"/>
      <c r="R71" s="195"/>
    </row>
    <row r="72" spans="1:31" s="146" customFormat="1" ht="15.75">
      <c r="A72" s="420" t="s">
        <v>481</v>
      </c>
      <c r="B72" s="444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6"/>
      <c r="Q72" s="151"/>
      <c r="R72" s="281">
        <f>M73-L73</f>
        <v>303.11900000000014</v>
      </c>
      <c r="S72" s="173">
        <v>55581.3</v>
      </c>
      <c r="T72" s="173">
        <f>S73/S72</f>
        <v>1.0897370158668473</v>
      </c>
      <c r="U72" s="173"/>
      <c r="V72" s="173"/>
    </row>
    <row r="73" spans="1:31" s="162" customFormat="1" ht="15">
      <c r="A73" s="233" t="s">
        <v>259</v>
      </c>
      <c r="B73" s="154" t="s">
        <v>242</v>
      </c>
      <c r="C73" s="219" t="e">
        <f t="shared" ref="C73:P73" si="12">SUM(C75+C76+C78)</f>
        <v>#REF!</v>
      </c>
      <c r="D73" s="219" t="e">
        <f t="shared" si="12"/>
        <v>#REF!</v>
      </c>
      <c r="E73" s="219" t="e">
        <f>SUM(E75+E76+E78)</f>
        <v>#REF!</v>
      </c>
      <c r="F73" s="219" t="e">
        <f>SUM(F75+F76+F78)</f>
        <v>#REF!</v>
      </c>
      <c r="G73" s="219" t="e">
        <f t="shared" si="12"/>
        <v>#REF!</v>
      </c>
      <c r="H73" s="282" t="e">
        <f t="shared" si="12"/>
        <v>#REF!</v>
      </c>
      <c r="I73" s="282" t="e">
        <f t="shared" si="12"/>
        <v>#REF!</v>
      </c>
      <c r="J73" s="282" t="e">
        <f t="shared" si="12"/>
        <v>#REF!</v>
      </c>
      <c r="K73" s="282" t="e">
        <f t="shared" si="12"/>
        <v>#REF!</v>
      </c>
      <c r="L73" s="282">
        <f t="shared" si="12"/>
        <v>3143.4989999999998</v>
      </c>
      <c r="M73" s="282">
        <f t="shared" si="12"/>
        <v>3446.6179999999999</v>
      </c>
      <c r="N73" s="282">
        <f t="shared" si="12"/>
        <v>3512.6010000000001</v>
      </c>
      <c r="O73" s="282">
        <f t="shared" si="12"/>
        <v>3577.1990000000001</v>
      </c>
      <c r="P73" s="283">
        <f t="shared" si="12"/>
        <v>3592.14</v>
      </c>
      <c r="Q73" s="284"/>
      <c r="R73" s="183">
        <f>M73*1000/12/R7</f>
        <v>60568.993392380151</v>
      </c>
      <c r="S73" s="183">
        <v>60569</v>
      </c>
      <c r="T73" s="285"/>
      <c r="U73" s="285"/>
      <c r="V73" s="171"/>
      <c r="X73" s="186"/>
    </row>
    <row r="74" spans="1:31" s="162" customFormat="1" ht="15">
      <c r="A74" s="433" t="s">
        <v>260</v>
      </c>
      <c r="B74" s="435"/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6"/>
      <c r="Q74" s="174"/>
      <c r="R74" s="183"/>
      <c r="S74" s="183"/>
      <c r="T74" s="285"/>
      <c r="U74" s="285"/>
      <c r="V74" s="171"/>
    </row>
    <row r="75" spans="1:31" s="162" customFormat="1" ht="15">
      <c r="A75" s="153" t="s">
        <v>482</v>
      </c>
      <c r="B75" s="154" t="s">
        <v>242</v>
      </c>
      <c r="C75" s="239" t="e">
        <f>#REF!</f>
        <v>#REF!</v>
      </c>
      <c r="D75" s="219" t="e">
        <f>#REF!</f>
        <v>#REF!</v>
      </c>
      <c r="E75" s="219" t="e">
        <f>#REF!</f>
        <v>#REF!</v>
      </c>
      <c r="F75" s="219" t="e">
        <f>#REF!</f>
        <v>#REF!</v>
      </c>
      <c r="G75" s="219" t="e">
        <f>#REF!</f>
        <v>#REF!</v>
      </c>
      <c r="H75" s="219" t="e">
        <f>#REF!</f>
        <v>#REF!</v>
      </c>
      <c r="I75" s="219" t="e">
        <f>#REF!</f>
        <v>#REF!</v>
      </c>
      <c r="J75" s="219" t="e">
        <f>#REF!</f>
        <v>#REF!</v>
      </c>
      <c r="K75" s="219" t="e">
        <f>#REF!</f>
        <v>#REF!</v>
      </c>
      <c r="L75" s="282">
        <v>2523.8789999999999</v>
      </c>
      <c r="M75" s="282">
        <v>2800</v>
      </c>
      <c r="N75" s="282">
        <v>2850</v>
      </c>
      <c r="O75" s="282">
        <v>2900</v>
      </c>
      <c r="P75" s="283">
        <v>2900</v>
      </c>
      <c r="Q75" s="221">
        <f>M75/L75*100</f>
        <v>110.94034222718285</v>
      </c>
      <c r="R75" s="175">
        <f>L75/L62*1000000/12</f>
        <v>83827.520924671189</v>
      </c>
      <c r="S75" s="175">
        <f>M75/M62*1000000/12</f>
        <v>91145.833333333328</v>
      </c>
      <c r="T75" s="286">
        <f>S75/R75</f>
        <v>1.0873020259687567</v>
      </c>
      <c r="U75" s="285"/>
      <c r="V75" s="285"/>
    </row>
    <row r="76" spans="1:31" s="162" customFormat="1" ht="15">
      <c r="A76" s="153" t="s">
        <v>483</v>
      </c>
      <c r="B76" s="154" t="s">
        <v>242</v>
      </c>
      <c r="C76" s="219">
        <f>C77+2.4383</f>
        <v>103.4876</v>
      </c>
      <c r="D76" s="219">
        <v>236.63</v>
      </c>
      <c r="E76" s="219">
        <f>E77+39.27</f>
        <v>237.45200000000003</v>
      </c>
      <c r="F76" s="219">
        <f>F77+61.65</f>
        <v>290.25</v>
      </c>
      <c r="G76" s="219">
        <f>G77+52.87</f>
        <v>411.1</v>
      </c>
      <c r="H76" s="219">
        <f>H77+56.9+17</f>
        <v>477.29999999999995</v>
      </c>
      <c r="I76" s="219">
        <f>I77+100.286+30.983</f>
        <v>558.28499999999997</v>
      </c>
      <c r="J76" s="219">
        <f>J77+73.497+40.213</f>
        <v>573.47799999999995</v>
      </c>
      <c r="K76" s="219">
        <f>K77+82.252+52.986</f>
        <v>604.18099999999993</v>
      </c>
      <c r="L76" s="219">
        <f>L77+82.624</f>
        <v>599.62</v>
      </c>
      <c r="M76" s="219">
        <f>M77+80.649</f>
        <v>623.61800000000005</v>
      </c>
      <c r="N76" s="219">
        <f>N77+81.947</f>
        <v>637.601</v>
      </c>
      <c r="O76" s="219">
        <f>O77+84.405</f>
        <v>652.19899999999996</v>
      </c>
      <c r="P76" s="220">
        <f>P77+86.937</f>
        <v>667.14</v>
      </c>
      <c r="Q76" s="221"/>
      <c r="R76" s="175"/>
      <c r="S76" s="171"/>
      <c r="T76" s="285"/>
      <c r="U76" s="285"/>
      <c r="V76" s="285"/>
      <c r="X76" s="186"/>
    </row>
    <row r="77" spans="1:31" s="162" customFormat="1" ht="15">
      <c r="A77" s="153" t="s">
        <v>484</v>
      </c>
      <c r="B77" s="154" t="s">
        <v>242</v>
      </c>
      <c r="C77" s="219">
        <v>101.0493</v>
      </c>
      <c r="D77" s="219">
        <v>233.31</v>
      </c>
      <c r="E77" s="219">
        <f>191.662+6.52</f>
        <v>198.18200000000002</v>
      </c>
      <c r="F77" s="219">
        <v>228.6</v>
      </c>
      <c r="G77" s="219">
        <v>358.23</v>
      </c>
      <c r="H77" s="219">
        <v>403.4</v>
      </c>
      <c r="I77" s="219">
        <v>427.01600000000002</v>
      </c>
      <c r="J77" s="219">
        <v>459.76799999999997</v>
      </c>
      <c r="K77" s="219">
        <v>468.94299999999998</v>
      </c>
      <c r="L77" s="219">
        <f>527.696-10.7</f>
        <v>516.99599999999998</v>
      </c>
      <c r="M77" s="219">
        <v>542.96900000000005</v>
      </c>
      <c r="N77" s="219">
        <v>555.654</v>
      </c>
      <c r="O77" s="219">
        <v>567.79399999999998</v>
      </c>
      <c r="P77" s="220">
        <v>580.20299999999997</v>
      </c>
      <c r="Q77" s="221"/>
      <c r="R77" s="175"/>
      <c r="S77" s="171"/>
      <c r="T77" s="285"/>
      <c r="U77" s="285"/>
      <c r="V77" s="285"/>
    </row>
    <row r="78" spans="1:31" s="162" customFormat="1" ht="15">
      <c r="A78" s="153" t="s">
        <v>485</v>
      </c>
      <c r="B78" s="154" t="s">
        <v>242</v>
      </c>
      <c r="C78" s="287">
        <v>20</v>
      </c>
      <c r="D78" s="287">
        <v>20</v>
      </c>
      <c r="E78" s="288">
        <v>20</v>
      </c>
      <c r="F78" s="288">
        <f>2.614+2</f>
        <v>4.6139999999999999</v>
      </c>
      <c r="G78" s="288">
        <v>7</v>
      </c>
      <c r="H78" s="288">
        <v>8</v>
      </c>
      <c r="I78" s="288">
        <v>10</v>
      </c>
      <c r="J78" s="288">
        <v>17</v>
      </c>
      <c r="K78" s="288">
        <v>18</v>
      </c>
      <c r="L78" s="288">
        <v>20</v>
      </c>
      <c r="M78" s="288">
        <v>23</v>
      </c>
      <c r="N78" s="288">
        <v>25</v>
      </c>
      <c r="O78" s="288">
        <v>25</v>
      </c>
      <c r="P78" s="289">
        <v>25</v>
      </c>
      <c r="Q78" s="258"/>
      <c r="R78" s="175"/>
      <c r="S78" s="171"/>
      <c r="T78" s="285"/>
      <c r="U78" s="285"/>
      <c r="V78" s="285"/>
    </row>
    <row r="79" spans="1:31" s="162" customFormat="1" ht="15">
      <c r="A79" s="153" t="s">
        <v>261</v>
      </c>
      <c r="B79" s="154" t="s">
        <v>262</v>
      </c>
      <c r="C79" s="239">
        <v>9856</v>
      </c>
      <c r="D79" s="290">
        <v>10800</v>
      </c>
      <c r="E79" s="290">
        <v>10961</v>
      </c>
      <c r="F79" s="291">
        <v>11114</v>
      </c>
      <c r="G79" s="291">
        <v>12157</v>
      </c>
      <c r="H79" s="292">
        <v>13381</v>
      </c>
      <c r="I79" s="292">
        <v>14568</v>
      </c>
      <c r="J79" s="292">
        <v>16537</v>
      </c>
      <c r="K79" s="292">
        <v>18072</v>
      </c>
      <c r="L79" s="292">
        <v>20194</v>
      </c>
      <c r="M79" s="292">
        <v>21680</v>
      </c>
      <c r="N79" s="292">
        <v>22534</v>
      </c>
      <c r="O79" s="292">
        <v>23196</v>
      </c>
      <c r="P79" s="293">
        <v>24189</v>
      </c>
      <c r="Q79" s="294"/>
      <c r="R79" s="175"/>
      <c r="S79" s="171"/>
      <c r="T79" s="295"/>
      <c r="U79" s="296"/>
      <c r="V79" s="296"/>
      <c r="W79" s="296"/>
      <c r="X79" s="297"/>
      <c r="Y79" s="298"/>
      <c r="Z79" s="298"/>
      <c r="AA79" s="299"/>
      <c r="AB79" s="299"/>
      <c r="AC79" s="171"/>
      <c r="AD79" s="171"/>
      <c r="AE79" s="171"/>
    </row>
    <row r="80" spans="1:31" s="162" customFormat="1" ht="15">
      <c r="A80" s="153" t="s">
        <v>263</v>
      </c>
      <c r="B80" s="154" t="s">
        <v>240</v>
      </c>
      <c r="C80" s="300" t="s">
        <v>264</v>
      </c>
      <c r="D80" s="300" t="s">
        <v>264</v>
      </c>
      <c r="E80" s="300" t="s">
        <v>265</v>
      </c>
      <c r="F80" s="301">
        <v>0.10199999999999999</v>
      </c>
      <c r="G80" s="301">
        <v>0.1</v>
      </c>
      <c r="H80" s="302">
        <v>9.2999999999999999E-2</v>
      </c>
      <c r="I80" s="302">
        <v>9.1999999999999998E-2</v>
      </c>
      <c r="J80" s="302">
        <v>8.5000000000000006E-2</v>
      </c>
      <c r="K80" s="302">
        <v>8.4000000000000005E-2</v>
      </c>
      <c r="L80" s="302">
        <v>8.3000000000000004E-2</v>
      </c>
      <c r="M80" s="302">
        <v>8.2000000000000003E-2</v>
      </c>
      <c r="N80" s="302">
        <v>8.2000000000000003E-2</v>
      </c>
      <c r="O80" s="302">
        <v>8.1000000000000003E-2</v>
      </c>
      <c r="P80" s="303">
        <v>0.08</v>
      </c>
      <c r="Q80" s="304"/>
      <c r="R80" s="175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</row>
    <row r="81" spans="1:24" s="146" customFormat="1" ht="15.75">
      <c r="A81" s="420" t="s">
        <v>486</v>
      </c>
      <c r="B81" s="447"/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2"/>
      <c r="Q81" s="151"/>
      <c r="R81" s="152"/>
      <c r="S81" s="305"/>
      <c r="T81" s="306"/>
      <c r="U81" s="173"/>
      <c r="V81" s="173"/>
      <c r="W81" s="173"/>
      <c r="X81" s="173"/>
    </row>
    <row r="82" spans="1:24" s="162" customFormat="1" ht="15">
      <c r="A82" s="153" t="s">
        <v>267</v>
      </c>
      <c r="B82" s="154" t="s">
        <v>268</v>
      </c>
      <c r="C82" s="307" t="s">
        <v>251</v>
      </c>
      <c r="D82" s="307">
        <v>0</v>
      </c>
      <c r="E82" s="308" t="s">
        <v>269</v>
      </c>
      <c r="F82" s="308" t="s">
        <v>269</v>
      </c>
      <c r="G82" s="308" t="s">
        <v>270</v>
      </c>
      <c r="H82" s="308" t="s">
        <v>269</v>
      </c>
      <c r="I82" s="308" t="s">
        <v>271</v>
      </c>
      <c r="J82" s="308" t="s">
        <v>269</v>
      </c>
      <c r="K82" s="308" t="s">
        <v>269</v>
      </c>
      <c r="L82" s="308" t="s">
        <v>487</v>
      </c>
      <c r="M82" s="309">
        <v>1153.5</v>
      </c>
      <c r="N82" s="309">
        <v>4302.6000000000004</v>
      </c>
      <c r="O82" s="309">
        <v>0</v>
      </c>
      <c r="P82" s="310">
        <v>0</v>
      </c>
      <c r="Q82" s="311"/>
      <c r="R82" s="195"/>
      <c r="S82" s="186"/>
      <c r="T82" s="285"/>
      <c r="U82" s="285"/>
      <c r="V82" s="285"/>
      <c r="W82" s="171"/>
      <c r="X82" s="171"/>
    </row>
    <row r="83" spans="1:24" s="162" customFormat="1" ht="15">
      <c r="A83" s="153" t="s">
        <v>272</v>
      </c>
      <c r="B83" s="154" t="s">
        <v>273</v>
      </c>
      <c r="C83" s="312">
        <v>28.35</v>
      </c>
      <c r="D83" s="312">
        <v>25.26</v>
      </c>
      <c r="E83" s="312">
        <f>(111299.91+31700.9)/E6/1000</f>
        <v>27.098883835512598</v>
      </c>
      <c r="F83" s="312">
        <f>134885.49/F6/1000</f>
        <v>25.202819506726453</v>
      </c>
      <c r="G83" s="312">
        <f>(133855.39+G82)/G6/1000</f>
        <v>26.107350709978608</v>
      </c>
      <c r="H83" s="227">
        <f>(131831.6+H82)/H6/1000</f>
        <v>25.366865499326533</v>
      </c>
      <c r="I83" s="227">
        <f>(123135.42+I82)/I6/1000</f>
        <v>24.201721983600155</v>
      </c>
      <c r="J83" s="227">
        <f>(131831.6+J82)/J6/1000</f>
        <v>27.385043622766929</v>
      </c>
      <c r="K83" s="227">
        <f>(127340.82+K82)/K6/1000</f>
        <v>27.139987212276214</v>
      </c>
      <c r="L83" s="227">
        <f>(122000)/L6/1000</f>
        <v>25.771018166455431</v>
      </c>
      <c r="M83" s="227">
        <f>(122000+M82)/M6/1000</f>
        <v>25.927052631578945</v>
      </c>
      <c r="N83" s="227">
        <f>(133626.04)/N6/1000</f>
        <v>27.838758333333335</v>
      </c>
      <c r="O83" s="227">
        <f>(133626.04+O82)/O6/1000</f>
        <v>27.551760824742271</v>
      </c>
      <c r="P83" s="313">
        <f>(133626.04+P82)/P6/1000</f>
        <v>27.270620408163264</v>
      </c>
      <c r="Q83" s="221"/>
      <c r="R83" s="314"/>
      <c r="S83" s="186"/>
      <c r="T83" s="285"/>
      <c r="U83" s="285"/>
      <c r="V83" s="285"/>
      <c r="W83" s="171"/>
      <c r="X83" s="171"/>
    </row>
    <row r="84" spans="1:24" s="162" customFormat="1" ht="15">
      <c r="A84" s="153" t="s">
        <v>274</v>
      </c>
      <c r="B84" s="154" t="s">
        <v>242</v>
      </c>
      <c r="C84" s="308" t="s">
        <v>275</v>
      </c>
      <c r="D84" s="308" t="s">
        <v>276</v>
      </c>
      <c r="E84" s="312">
        <v>590.76790000000005</v>
      </c>
      <c r="F84" s="312">
        <v>616.69039999999995</v>
      </c>
      <c r="G84" s="243">
        <f>E84*105.9%</f>
        <v>625.62320610000017</v>
      </c>
      <c r="H84" s="315">
        <f>732.03/1.18</f>
        <v>620.36440677966107</v>
      </c>
      <c r="I84" s="315">
        <v>606.25199999999995</v>
      </c>
      <c r="J84" s="315">
        <v>504.87</v>
      </c>
      <c r="K84" s="315">
        <v>519.54</v>
      </c>
      <c r="L84" s="315">
        <v>535.21</v>
      </c>
      <c r="M84" s="315">
        <v>451</v>
      </c>
      <c r="N84" s="315">
        <v>465</v>
      </c>
      <c r="O84" s="315">
        <v>480</v>
      </c>
      <c r="P84" s="316">
        <v>495</v>
      </c>
      <c r="Q84" s="317"/>
      <c r="R84" s="195"/>
      <c r="S84" s="186"/>
      <c r="T84" s="285"/>
      <c r="U84" s="171"/>
      <c r="V84" s="171"/>
      <c r="W84" s="171"/>
      <c r="X84" s="171"/>
    </row>
    <row r="85" spans="1:24" s="162" customFormat="1" ht="15">
      <c r="A85" s="153" t="s">
        <v>277</v>
      </c>
      <c r="B85" s="154" t="s">
        <v>240</v>
      </c>
      <c r="C85" s="300" t="s">
        <v>278</v>
      </c>
      <c r="D85" s="300" t="s">
        <v>279</v>
      </c>
      <c r="E85" s="300" t="s">
        <v>280</v>
      </c>
      <c r="F85" s="300" t="s">
        <v>281</v>
      </c>
      <c r="G85" s="300" t="s">
        <v>282</v>
      </c>
      <c r="H85" s="318">
        <v>0.28999999999999998</v>
      </c>
      <c r="I85" s="318">
        <v>0.24</v>
      </c>
      <c r="J85" s="318">
        <v>0.91669999999999996</v>
      </c>
      <c r="K85" s="318">
        <v>0.97599999999999998</v>
      </c>
      <c r="L85" s="318">
        <v>0.87480000000000002</v>
      </c>
      <c r="M85" s="318">
        <v>0.95</v>
      </c>
      <c r="N85" s="318">
        <v>0.98</v>
      </c>
      <c r="O85" s="318">
        <v>0.98</v>
      </c>
      <c r="P85" s="319">
        <v>0.98</v>
      </c>
      <c r="Q85" s="320"/>
      <c r="R85" s="321"/>
      <c r="S85" s="186"/>
      <c r="T85" s="186"/>
    </row>
    <row r="86" spans="1:24" s="162" customFormat="1" ht="15">
      <c r="A86" s="153" t="s">
        <v>283</v>
      </c>
      <c r="B86" s="154" t="s">
        <v>253</v>
      </c>
      <c r="C86" s="308" t="s">
        <v>284</v>
      </c>
      <c r="D86" s="308" t="s">
        <v>285</v>
      </c>
      <c r="E86" s="312">
        <f>172+405+49+219+21+101+33+39+199</f>
        <v>1238</v>
      </c>
      <c r="F86" s="312">
        <v>1212</v>
      </c>
      <c r="G86" s="309">
        <f>189+390+537</f>
        <v>1116</v>
      </c>
      <c r="H86" s="309">
        <f>202+506+53+419</f>
        <v>1180</v>
      </c>
      <c r="I86" s="309">
        <f>198+412+483</f>
        <v>1093</v>
      </c>
      <c r="J86" s="309">
        <f>192+361+460</f>
        <v>1013</v>
      </c>
      <c r="K86" s="309">
        <f>195+842</f>
        <v>1037</v>
      </c>
      <c r="L86" s="309">
        <f>200+851</f>
        <v>1051</v>
      </c>
      <c r="M86" s="309">
        <f>186+852</f>
        <v>1038</v>
      </c>
      <c r="N86" s="309">
        <f>200+866</f>
        <v>1066</v>
      </c>
      <c r="O86" s="309">
        <v>1066</v>
      </c>
      <c r="P86" s="310">
        <v>1066</v>
      </c>
      <c r="Q86" s="284"/>
      <c r="R86" s="195"/>
      <c r="S86" s="186"/>
      <c r="T86" s="186"/>
      <c r="U86" s="322"/>
    </row>
    <row r="87" spans="1:24" s="162" customFormat="1" ht="15">
      <c r="A87" s="153" t="s">
        <v>286</v>
      </c>
      <c r="B87" s="154" t="s">
        <v>253</v>
      </c>
      <c r="C87" s="308"/>
      <c r="D87" s="308"/>
      <c r="E87" s="308"/>
      <c r="F87" s="308"/>
      <c r="G87" s="308"/>
      <c r="H87" s="308" t="s">
        <v>287</v>
      </c>
      <c r="I87" s="308" t="s">
        <v>288</v>
      </c>
      <c r="J87" s="308" t="s">
        <v>289</v>
      </c>
      <c r="K87" s="308" t="s">
        <v>422</v>
      </c>
      <c r="L87" s="308" t="s">
        <v>488</v>
      </c>
      <c r="M87" s="308" t="s">
        <v>489</v>
      </c>
      <c r="N87" s="308" t="s">
        <v>290</v>
      </c>
      <c r="O87" s="308" t="s">
        <v>290</v>
      </c>
      <c r="P87" s="323" t="s">
        <v>290</v>
      </c>
      <c r="Q87" s="324"/>
      <c r="R87" s="195"/>
      <c r="S87" s="186"/>
      <c r="T87" s="186"/>
      <c r="U87" s="322"/>
    </row>
    <row r="88" spans="1:24" s="162" customFormat="1" ht="15">
      <c r="A88" s="433" t="s">
        <v>291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48"/>
      <c r="Q88" s="325"/>
      <c r="R88" s="195"/>
      <c r="S88" s="326"/>
      <c r="T88" s="186"/>
    </row>
    <row r="89" spans="1:24" s="162" customFormat="1" ht="15">
      <c r="A89" s="153" t="s">
        <v>490</v>
      </c>
      <c r="B89" s="154" t="s">
        <v>292</v>
      </c>
      <c r="C89" s="288">
        <v>22.5</v>
      </c>
      <c r="D89" s="288">
        <v>11</v>
      </c>
      <c r="E89" s="288">
        <v>11</v>
      </c>
      <c r="F89" s="288">
        <f>62/F6</f>
        <v>11.584454409566517</v>
      </c>
      <c r="G89" s="288">
        <f>62/G6</f>
        <v>12.059910523244504</v>
      </c>
      <c r="H89" s="327">
        <f>62/H6</f>
        <v>11.929959592072349</v>
      </c>
      <c r="I89" s="327">
        <f t="shared" ref="I89:P89" si="13">52/I6</f>
        <v>10.152284263959391</v>
      </c>
      <c r="J89" s="327">
        <f t="shared" si="13"/>
        <v>10.80182800166182</v>
      </c>
      <c r="K89" s="327">
        <f t="shared" si="13"/>
        <v>11.082693947144074</v>
      </c>
      <c r="L89" s="327">
        <f>52/L6</f>
        <v>10.984368398817068</v>
      </c>
      <c r="M89" s="327">
        <f>52/M6</f>
        <v>10.947368421052632</v>
      </c>
      <c r="N89" s="327">
        <f t="shared" si="13"/>
        <v>10.833333333333334</v>
      </c>
      <c r="O89" s="327">
        <f t="shared" si="13"/>
        <v>10.721649484536083</v>
      </c>
      <c r="P89" s="328">
        <f t="shared" si="13"/>
        <v>10.612244897959183</v>
      </c>
      <c r="Q89" s="329"/>
      <c r="R89" s="195"/>
      <c r="S89" s="186"/>
      <c r="T89" s="186"/>
    </row>
    <row r="90" spans="1:24" s="162" customFormat="1" ht="15">
      <c r="A90" s="177" t="s">
        <v>491</v>
      </c>
      <c r="B90" s="154" t="s">
        <v>293</v>
      </c>
      <c r="C90" s="288">
        <v>63.6</v>
      </c>
      <c r="D90" s="288">
        <v>42</v>
      </c>
      <c r="E90" s="288">
        <f>132.1/4.937</f>
        <v>26.75713996354061</v>
      </c>
      <c r="F90" s="330">
        <f>143/2.983</f>
        <v>47.938317130405629</v>
      </c>
      <c r="G90" s="330">
        <f>150/2.734</f>
        <v>54.864667154352595</v>
      </c>
      <c r="H90" s="331">
        <f>183.2/3.414</f>
        <v>53.661394258933797</v>
      </c>
      <c r="I90" s="331">
        <f>185.2/3.469</f>
        <v>53.387143268953587</v>
      </c>
      <c r="J90" s="331">
        <f>242.2/3.231</f>
        <v>74.961312287217581</v>
      </c>
      <c r="K90" s="331">
        <f>237/3.405</f>
        <v>69.603524229074893</v>
      </c>
      <c r="L90" s="331">
        <f>237/3.785</f>
        <v>62.615587846763539</v>
      </c>
      <c r="M90" s="331">
        <f>237/3.785</f>
        <v>62.615587846763539</v>
      </c>
      <c r="N90" s="331">
        <f>237/3.785</f>
        <v>62.615587846763539</v>
      </c>
      <c r="O90" s="331">
        <f>237/3.785</f>
        <v>62.615587846763539</v>
      </c>
      <c r="P90" s="332">
        <f>237/3.785</f>
        <v>62.615587846763539</v>
      </c>
      <c r="Q90" s="333"/>
      <c r="R90" s="195"/>
      <c r="S90" s="186"/>
      <c r="T90" s="186"/>
    </row>
    <row r="91" spans="1:24" s="162" customFormat="1" ht="15">
      <c r="A91" s="177" t="s">
        <v>492</v>
      </c>
      <c r="B91" s="154" t="s">
        <v>293</v>
      </c>
      <c r="C91" s="288">
        <v>4</v>
      </c>
      <c r="D91" s="288">
        <v>4</v>
      </c>
      <c r="E91" s="288">
        <f>11.8/0.34</f>
        <v>34.705882352941174</v>
      </c>
      <c r="F91" s="288">
        <f>24.4/0.742</f>
        <v>32.884097035040426</v>
      </c>
      <c r="G91" s="288">
        <f>22.4/((176+376+211+159)/1000)</f>
        <v>24.295010845986983</v>
      </c>
      <c r="H91" s="334">
        <f>29.6/((367+175+157+210)/1000)</f>
        <v>32.563256325632565</v>
      </c>
      <c r="I91" s="334">
        <f>28.1/((350+169+159+208)/1000)</f>
        <v>31.715575620767495</v>
      </c>
      <c r="J91" s="334">
        <f>33.1/0.85</f>
        <v>38.941176470588239</v>
      </c>
      <c r="K91" s="334">
        <f>28.8/0.782</f>
        <v>36.828644501278774</v>
      </c>
      <c r="L91" s="334">
        <f>31/0.809</f>
        <v>38.318912237330032</v>
      </c>
      <c r="M91" s="334">
        <f>31/0.809</f>
        <v>38.318912237330032</v>
      </c>
      <c r="N91" s="334">
        <f>31/0.809</f>
        <v>38.318912237330032</v>
      </c>
      <c r="O91" s="334">
        <f>31/0.809</f>
        <v>38.318912237330032</v>
      </c>
      <c r="P91" s="335">
        <f>31/0.809</f>
        <v>38.318912237330032</v>
      </c>
      <c r="Q91" s="258"/>
      <c r="R91" s="195"/>
      <c r="S91" s="186"/>
      <c r="T91" s="186"/>
    </row>
    <row r="92" spans="1:24" s="162" customFormat="1" ht="15">
      <c r="A92" s="177" t="s">
        <v>493</v>
      </c>
      <c r="B92" s="154" t="s">
        <v>294</v>
      </c>
      <c r="C92" s="288">
        <v>5.8</v>
      </c>
      <c r="D92" s="288">
        <v>4</v>
      </c>
      <c r="E92" s="288">
        <f>26/E6</f>
        <v>4.9270418798559783</v>
      </c>
      <c r="F92" s="288">
        <f>25/F6</f>
        <v>4.6711509715994017</v>
      </c>
      <c r="G92" s="288">
        <f>29/G6</f>
        <v>5.6409258899046879</v>
      </c>
      <c r="H92" s="288">
        <f>29/H6</f>
        <v>5.580142389840292</v>
      </c>
      <c r="I92" s="288">
        <f>28/I6</f>
        <v>5.4666146036704415</v>
      </c>
      <c r="J92" s="288">
        <f>26/J6</f>
        <v>5.4009140008309098</v>
      </c>
      <c r="K92" s="288">
        <f>28/K6</f>
        <v>5.9676044330775788</v>
      </c>
      <c r="L92" s="288">
        <f>30/L6</f>
        <v>6.3371356147021549</v>
      </c>
      <c r="M92" s="288">
        <f>33/M6</f>
        <v>6.9473684210526319</v>
      </c>
      <c r="N92" s="288">
        <f>32/N6</f>
        <v>6.666666666666667</v>
      </c>
      <c r="O92" s="288">
        <f>32/O6</f>
        <v>6.5979381443298974</v>
      </c>
      <c r="P92" s="289">
        <f>32/P6</f>
        <v>6.5306122448979584</v>
      </c>
      <c r="Q92" s="258"/>
      <c r="R92" s="195"/>
      <c r="S92" s="186"/>
      <c r="T92" s="186"/>
    </row>
    <row r="93" spans="1:24" s="162" customFormat="1" ht="15">
      <c r="A93" s="177" t="s">
        <v>494</v>
      </c>
      <c r="B93" s="154" t="s">
        <v>294</v>
      </c>
      <c r="C93" s="288">
        <v>17.3</v>
      </c>
      <c r="D93" s="288">
        <v>11</v>
      </c>
      <c r="E93" s="288">
        <f>96/E6</f>
        <v>18.192154633314384</v>
      </c>
      <c r="F93" s="288">
        <f>85/F6</f>
        <v>15.881913303437965</v>
      </c>
      <c r="G93" s="288">
        <f>83/G6</f>
        <v>16.144718926278934</v>
      </c>
      <c r="H93" s="288">
        <f>85/H6</f>
        <v>16.355589763324996</v>
      </c>
      <c r="I93" s="288">
        <f>86/I6</f>
        <v>16.790316282702069</v>
      </c>
      <c r="J93" s="288">
        <f>84/J6</f>
        <v>17.449106771915247</v>
      </c>
      <c r="K93" s="288">
        <f>84/K6</f>
        <v>17.902813299232736</v>
      </c>
      <c r="L93" s="288">
        <f>81/L6</f>
        <v>17.110266159695819</v>
      </c>
      <c r="M93" s="288">
        <f>80/M6</f>
        <v>16.842105263157894</v>
      </c>
      <c r="N93" s="288">
        <f>81/N6</f>
        <v>16.875</v>
      </c>
      <c r="O93" s="288">
        <f>83/O6</f>
        <v>17.11340206185567</v>
      </c>
      <c r="P93" s="289">
        <f>83/P6</f>
        <v>16.938775510204081</v>
      </c>
      <c r="Q93" s="258"/>
      <c r="R93" s="195"/>
      <c r="S93" s="186"/>
      <c r="T93" s="186"/>
    </row>
    <row r="94" spans="1:24" s="162" customFormat="1" ht="15">
      <c r="A94" s="177" t="s">
        <v>495</v>
      </c>
      <c r="B94" s="154" t="s">
        <v>295</v>
      </c>
      <c r="C94" s="288">
        <v>2</v>
      </c>
      <c r="D94" s="288">
        <v>2</v>
      </c>
      <c r="E94" s="288">
        <v>2</v>
      </c>
      <c r="F94" s="288">
        <f>9/F6</f>
        <v>1.6816143497757847</v>
      </c>
      <c r="G94" s="334">
        <f t="shared" ref="G94:P94" si="14">7/G6</f>
        <v>1.3616028010114765</v>
      </c>
      <c r="H94" s="334">
        <f t="shared" si="14"/>
        <v>1.3469309216855878</v>
      </c>
      <c r="I94" s="334">
        <f t="shared" si="14"/>
        <v>1.3666536509176104</v>
      </c>
      <c r="J94" s="334">
        <f t="shared" si="14"/>
        <v>1.4540922309929372</v>
      </c>
      <c r="K94" s="334">
        <f t="shared" si="14"/>
        <v>1.4919011082693947</v>
      </c>
      <c r="L94" s="334">
        <f>7/L6</f>
        <v>1.478664976763836</v>
      </c>
      <c r="M94" s="334">
        <f>7/M6</f>
        <v>1.4736842105263157</v>
      </c>
      <c r="N94" s="334">
        <f t="shared" si="14"/>
        <v>1.4583333333333335</v>
      </c>
      <c r="O94" s="334">
        <f t="shared" si="14"/>
        <v>1.4432989690721651</v>
      </c>
      <c r="P94" s="335">
        <f t="shared" si="14"/>
        <v>1.4285714285714284</v>
      </c>
      <c r="Q94" s="258"/>
      <c r="R94" s="195"/>
      <c r="S94" s="186"/>
      <c r="T94" s="186"/>
    </row>
    <row r="95" spans="1:24" s="162" customFormat="1" ht="15">
      <c r="A95" s="177" t="s">
        <v>496</v>
      </c>
      <c r="B95" s="154" t="s">
        <v>295</v>
      </c>
      <c r="C95" s="288">
        <v>1.75</v>
      </c>
      <c r="D95" s="288">
        <v>1.75</v>
      </c>
      <c r="E95" s="288">
        <v>1.75</v>
      </c>
      <c r="F95" s="288">
        <f>8/F6</f>
        <v>1.4947683109118086</v>
      </c>
      <c r="G95" s="334">
        <f t="shared" ref="G95:P95" si="15">7/G6</f>
        <v>1.3616028010114765</v>
      </c>
      <c r="H95" s="334">
        <f t="shared" si="15"/>
        <v>1.3469309216855878</v>
      </c>
      <c r="I95" s="334">
        <f>7/I6</f>
        <v>1.3666536509176104</v>
      </c>
      <c r="J95" s="334">
        <f t="shared" si="15"/>
        <v>1.4540922309929372</v>
      </c>
      <c r="K95" s="334">
        <f t="shared" si="15"/>
        <v>1.4919011082693947</v>
      </c>
      <c r="L95" s="334">
        <f>7/L6</f>
        <v>1.478664976763836</v>
      </c>
      <c r="M95" s="334">
        <f>7/M6</f>
        <v>1.4736842105263157</v>
      </c>
      <c r="N95" s="334">
        <f t="shared" si="15"/>
        <v>1.4583333333333335</v>
      </c>
      <c r="O95" s="334">
        <f t="shared" si="15"/>
        <v>1.4432989690721651</v>
      </c>
      <c r="P95" s="335">
        <f t="shared" si="15"/>
        <v>1.4285714285714284</v>
      </c>
      <c r="Q95" s="258"/>
      <c r="R95" s="195"/>
    </row>
    <row r="96" spans="1:24" s="162" customFormat="1" ht="15">
      <c r="A96" s="153" t="s">
        <v>296</v>
      </c>
      <c r="B96" s="154" t="s">
        <v>297</v>
      </c>
      <c r="C96" s="300" t="s">
        <v>298</v>
      </c>
      <c r="D96" s="300" t="s">
        <v>298</v>
      </c>
      <c r="E96" s="300" t="s">
        <v>298</v>
      </c>
      <c r="F96" s="300" t="s">
        <v>298</v>
      </c>
      <c r="G96" s="336" t="s">
        <v>298</v>
      </c>
      <c r="H96" s="336" t="s">
        <v>298</v>
      </c>
      <c r="I96" s="336" t="s">
        <v>298</v>
      </c>
      <c r="J96" s="336" t="s">
        <v>298</v>
      </c>
      <c r="K96" s="336" t="s">
        <v>298</v>
      </c>
      <c r="L96" s="336" t="s">
        <v>298</v>
      </c>
      <c r="M96" s="336" t="s">
        <v>298</v>
      </c>
      <c r="N96" s="336" t="s">
        <v>298</v>
      </c>
      <c r="O96" s="336" t="s">
        <v>298</v>
      </c>
      <c r="P96" s="337" t="s">
        <v>298</v>
      </c>
      <c r="Q96" s="338"/>
      <c r="R96" s="195"/>
      <c r="S96" s="186"/>
      <c r="U96" s="186"/>
    </row>
    <row r="97" spans="1:32" s="146" customFormat="1" ht="13.5" thickBot="1">
      <c r="A97" s="420" t="s">
        <v>497</v>
      </c>
      <c r="B97" s="421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2"/>
      <c r="Q97" s="151"/>
      <c r="R97" s="152"/>
    </row>
    <row r="98" spans="1:32" s="162" customFormat="1" ht="15.75" thickBot="1">
      <c r="A98" s="339" t="s">
        <v>300</v>
      </c>
      <c r="B98" s="154" t="s">
        <v>301</v>
      </c>
      <c r="C98" s="243">
        <v>67.91</v>
      </c>
      <c r="D98" s="243">
        <f t="shared" ref="D98:P98" si="16">SUM(D100+D101)</f>
        <v>89.86</v>
      </c>
      <c r="E98" s="243">
        <f>SUM(E100+E101)</f>
        <v>90.25200000000001</v>
      </c>
      <c r="F98" s="243">
        <f>SUM(F100+F101)</f>
        <v>82.804000000000002</v>
      </c>
      <c r="G98" s="243">
        <f t="shared" si="16"/>
        <v>74.045000000000002</v>
      </c>
      <c r="H98" s="243">
        <f t="shared" si="16"/>
        <v>81.573000000000008</v>
      </c>
      <c r="I98" s="340">
        <f t="shared" si="16"/>
        <v>79.580000000000013</v>
      </c>
      <c r="J98" s="340">
        <f t="shared" si="16"/>
        <v>78.180000000000007</v>
      </c>
      <c r="K98" s="340">
        <f t="shared" si="16"/>
        <v>71.599999999999994</v>
      </c>
      <c r="L98" s="340">
        <f t="shared" si="16"/>
        <v>73.3</v>
      </c>
      <c r="M98" s="340">
        <f t="shared" si="16"/>
        <v>75.09</v>
      </c>
      <c r="N98" s="340">
        <f t="shared" si="16"/>
        <v>77.7</v>
      </c>
      <c r="O98" s="340">
        <f t="shared" si="16"/>
        <v>78.5</v>
      </c>
      <c r="P98" s="341">
        <f t="shared" si="16"/>
        <v>79.3</v>
      </c>
      <c r="Q98" s="317"/>
      <c r="R98" s="195"/>
      <c r="S98" s="441" t="s">
        <v>498</v>
      </c>
      <c r="T98" s="442"/>
      <c r="U98" s="442"/>
      <c r="V98" s="442"/>
      <c r="W98" s="442"/>
      <c r="X98" s="442"/>
      <c r="Y98" s="442"/>
      <c r="Z98" s="442"/>
      <c r="AA98" s="443"/>
    </row>
    <row r="99" spans="1:32" s="162" customFormat="1" ht="15.75" thickBot="1">
      <c r="A99" s="433" t="s">
        <v>499</v>
      </c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6"/>
      <c r="Q99" s="174"/>
      <c r="R99" s="195"/>
      <c r="S99" s="342"/>
      <c r="T99" s="343">
        <v>2014</v>
      </c>
      <c r="U99" s="343">
        <v>2015</v>
      </c>
      <c r="V99" s="343">
        <v>2016</v>
      </c>
      <c r="W99" s="344">
        <v>2017</v>
      </c>
      <c r="X99" s="344">
        <v>2018</v>
      </c>
      <c r="Y99" s="344">
        <v>2019</v>
      </c>
      <c r="Z99" s="344">
        <v>2020</v>
      </c>
      <c r="AA99" s="345">
        <v>2021</v>
      </c>
    </row>
    <row r="100" spans="1:32" s="162" customFormat="1" ht="15">
      <c r="A100" s="153" t="s">
        <v>302</v>
      </c>
      <c r="B100" s="154" t="s">
        <v>301</v>
      </c>
      <c r="C100" s="346">
        <v>52.2806</v>
      </c>
      <c r="D100" s="347">
        <v>76.52</v>
      </c>
      <c r="E100" s="346">
        <v>76.132000000000005</v>
      </c>
      <c r="F100" s="346">
        <v>70.33</v>
      </c>
      <c r="G100" s="346">
        <v>61.095999999999997</v>
      </c>
      <c r="H100" s="346">
        <v>70.483000000000004</v>
      </c>
      <c r="I100" s="348">
        <v>68.540000000000006</v>
      </c>
      <c r="J100" s="348">
        <v>68.23</v>
      </c>
      <c r="K100" s="348">
        <v>61</v>
      </c>
      <c r="L100" s="348">
        <v>63.18</v>
      </c>
      <c r="M100" s="348">
        <v>64.47</v>
      </c>
      <c r="N100" s="348">
        <v>70.180000000000007</v>
      </c>
      <c r="O100" s="348">
        <v>70.900000000000006</v>
      </c>
      <c r="P100" s="349">
        <v>71.599999999999994</v>
      </c>
      <c r="Q100" s="350"/>
      <c r="R100" s="195"/>
      <c r="S100" s="351" t="s">
        <v>500</v>
      </c>
      <c r="T100" s="352">
        <v>32.04</v>
      </c>
      <c r="U100" s="352">
        <v>35.729999999999997</v>
      </c>
      <c r="V100" s="352">
        <v>30.2</v>
      </c>
      <c r="W100" s="352">
        <v>58</v>
      </c>
      <c r="X100" s="352">
        <v>54</v>
      </c>
      <c r="Y100" s="352">
        <v>51</v>
      </c>
      <c r="Z100" s="352">
        <v>51</v>
      </c>
      <c r="AA100" s="353">
        <v>51</v>
      </c>
    </row>
    <row r="101" spans="1:32" s="162" customFormat="1" ht="15">
      <c r="A101" s="153" t="s">
        <v>303</v>
      </c>
      <c r="B101" s="154" t="s">
        <v>301</v>
      </c>
      <c r="C101" s="243">
        <v>15.6325</v>
      </c>
      <c r="D101" s="243">
        <v>13.34</v>
      </c>
      <c r="E101" s="243">
        <f>13.396+0.724</f>
        <v>14.120000000000001</v>
      </c>
      <c r="F101" s="243">
        <f>12.421+0.053</f>
        <v>12.474</v>
      </c>
      <c r="G101" s="243">
        <f>0.02+12.929</f>
        <v>12.949</v>
      </c>
      <c r="H101" s="243">
        <f>11+0.03+0.06</f>
        <v>11.09</v>
      </c>
      <c r="I101" s="354">
        <f>11.04</f>
        <v>11.04</v>
      </c>
      <c r="J101" s="354">
        <v>9.9499999999999993</v>
      </c>
      <c r="K101" s="354">
        <v>10.6</v>
      </c>
      <c r="L101" s="354">
        <v>10.119999999999999</v>
      </c>
      <c r="M101" s="354">
        <v>10.62</v>
      </c>
      <c r="N101" s="263">
        <v>7.52</v>
      </c>
      <c r="O101" s="355">
        <v>7.6</v>
      </c>
      <c r="P101" s="356">
        <v>7.7</v>
      </c>
      <c r="Q101" s="357"/>
      <c r="R101" s="195"/>
      <c r="S101" s="358" t="s">
        <v>501</v>
      </c>
      <c r="T101" s="180">
        <v>89.1</v>
      </c>
      <c r="U101" s="180">
        <v>119.3</v>
      </c>
      <c r="V101" s="180">
        <v>20.5</v>
      </c>
      <c r="W101" s="180">
        <v>74.400000000000006</v>
      </c>
      <c r="X101" s="180">
        <v>65.2</v>
      </c>
      <c r="Y101" s="180">
        <v>70</v>
      </c>
      <c r="Z101" s="180">
        <v>70</v>
      </c>
      <c r="AA101" s="359">
        <v>70</v>
      </c>
    </row>
    <row r="102" spans="1:32" s="162" customFormat="1" ht="15">
      <c r="A102" s="360" t="s">
        <v>304</v>
      </c>
      <c r="B102" s="361" t="s">
        <v>305</v>
      </c>
      <c r="C102" s="355">
        <f>97.573+61.513</f>
        <v>159.08599999999998</v>
      </c>
      <c r="D102" s="355">
        <v>144.6</v>
      </c>
      <c r="E102" s="355">
        <f>53.658+92.861</f>
        <v>146.51900000000001</v>
      </c>
      <c r="F102" s="355">
        <f>58.455+104.417</f>
        <v>162.87200000000001</v>
      </c>
      <c r="G102" s="355">
        <f>111.751+46.459</f>
        <v>158.21</v>
      </c>
      <c r="H102" s="355">
        <f>51.1+100.8+8</f>
        <v>159.9</v>
      </c>
      <c r="I102" s="355">
        <v>133.9</v>
      </c>
      <c r="J102" s="355">
        <v>135.30000000000001</v>
      </c>
      <c r="K102" s="355">
        <v>125.2</v>
      </c>
      <c r="L102" s="355">
        <v>124.4</v>
      </c>
      <c r="M102" s="355">
        <v>126</v>
      </c>
      <c r="N102" s="355">
        <v>126.8</v>
      </c>
      <c r="O102" s="355">
        <v>128.1</v>
      </c>
      <c r="P102" s="356">
        <v>129.4</v>
      </c>
      <c r="Q102" s="357"/>
      <c r="R102" s="357"/>
      <c r="S102" s="358" t="s">
        <v>502</v>
      </c>
      <c r="T102" s="180">
        <v>48.4</v>
      </c>
      <c r="U102" s="180">
        <v>25.2</v>
      </c>
      <c r="V102" s="180">
        <v>23</v>
      </c>
      <c r="W102" s="180">
        <v>32.6</v>
      </c>
      <c r="X102" s="180">
        <v>28.2</v>
      </c>
      <c r="Y102" s="180">
        <v>38.9</v>
      </c>
      <c r="Z102" s="180">
        <v>40</v>
      </c>
      <c r="AA102" s="359">
        <v>40</v>
      </c>
      <c r="AB102" s="362"/>
      <c r="AC102" s="362"/>
      <c r="AD102" s="362"/>
      <c r="AE102" s="362"/>
      <c r="AF102" s="362"/>
    </row>
    <row r="103" spans="1:32" s="162" customFormat="1" ht="15">
      <c r="A103" s="360" t="s">
        <v>306</v>
      </c>
      <c r="B103" s="361" t="s">
        <v>305</v>
      </c>
      <c r="C103" s="355">
        <f>84.698+45.037</f>
        <v>129.73499999999999</v>
      </c>
      <c r="D103" s="355">
        <v>124.7</v>
      </c>
      <c r="E103" s="355">
        <f>38.439+80.325</f>
        <v>118.76400000000001</v>
      </c>
      <c r="F103" s="355">
        <f>44.179+92.738</f>
        <v>136.917</v>
      </c>
      <c r="G103" s="355">
        <f>107.204+37.565</f>
        <v>144.76900000000001</v>
      </c>
      <c r="H103" s="355">
        <f>40.1+96.346</f>
        <v>136.446</v>
      </c>
      <c r="I103" s="355">
        <v>120.5</v>
      </c>
      <c r="J103" s="355">
        <v>127.1</v>
      </c>
      <c r="K103" s="355">
        <v>116.4</v>
      </c>
      <c r="L103" s="355">
        <v>114.3</v>
      </c>
      <c r="M103" s="355">
        <v>113.1</v>
      </c>
      <c r="N103" s="355">
        <v>116.3</v>
      </c>
      <c r="O103" s="355">
        <v>117.4</v>
      </c>
      <c r="P103" s="356">
        <v>118.6</v>
      </c>
      <c r="Q103" s="357"/>
      <c r="R103" s="195"/>
      <c r="S103" s="358" t="s">
        <v>503</v>
      </c>
      <c r="T103" s="180">
        <v>124.4</v>
      </c>
      <c r="U103" s="180">
        <v>101.7</v>
      </c>
      <c r="V103" s="180">
        <v>168.2</v>
      </c>
      <c r="W103" s="180">
        <v>91.5</v>
      </c>
      <c r="X103" s="180">
        <v>68.2</v>
      </c>
      <c r="Y103" s="180">
        <v>68.900000000000006</v>
      </c>
      <c r="Z103" s="180">
        <v>70</v>
      </c>
      <c r="AA103" s="359">
        <v>70</v>
      </c>
    </row>
    <row r="104" spans="1:32" s="162" customFormat="1" ht="15.75" thickBot="1">
      <c r="A104" s="153" t="s">
        <v>307</v>
      </c>
      <c r="B104" s="154" t="s">
        <v>308</v>
      </c>
      <c r="C104" s="307">
        <f>264+5.7+490+50</f>
        <v>809.7</v>
      </c>
      <c r="D104" s="363">
        <f>128+470+16.3+130</f>
        <v>744.3</v>
      </c>
      <c r="E104" s="363">
        <v>793.2</v>
      </c>
      <c r="F104" s="363">
        <v>837.79</v>
      </c>
      <c r="G104" s="340">
        <v>1089.5050000000001</v>
      </c>
      <c r="H104" s="340">
        <f>692.8+45.21+165+169</f>
        <v>1072.01</v>
      </c>
      <c r="I104" s="364">
        <f>611.08+35.796+211.3+190.667</f>
        <v>1048.8430000000001</v>
      </c>
      <c r="J104" s="364">
        <v>1007.06</v>
      </c>
      <c r="K104" s="364">
        <v>985.84900000000005</v>
      </c>
      <c r="L104" s="364">
        <v>1063.7</v>
      </c>
      <c r="M104" s="364">
        <v>1140.25</v>
      </c>
      <c r="N104" s="364">
        <v>935</v>
      </c>
      <c r="O104" s="364">
        <v>1135</v>
      </c>
      <c r="P104" s="365">
        <v>1135</v>
      </c>
      <c r="Q104" s="366"/>
      <c r="R104" s="195"/>
      <c r="S104" s="367" t="s">
        <v>309</v>
      </c>
      <c r="T104" s="368">
        <f t="shared" ref="T104:Y104" si="17">T100+T101+T102+T103</f>
        <v>293.94</v>
      </c>
      <c r="U104" s="368">
        <f t="shared" si="17"/>
        <v>281.93</v>
      </c>
      <c r="V104" s="368">
        <f t="shared" si="17"/>
        <v>241.89999999999998</v>
      </c>
      <c r="W104" s="368">
        <f t="shared" si="17"/>
        <v>256.5</v>
      </c>
      <c r="X104" s="368">
        <f t="shared" si="17"/>
        <v>215.60000000000002</v>
      </c>
      <c r="Y104" s="368">
        <f t="shared" si="17"/>
        <v>228.8</v>
      </c>
      <c r="Z104" s="368">
        <f>Z100+Z101+Z102+Z103</f>
        <v>231</v>
      </c>
      <c r="AA104" s="369">
        <f>AA100+AA101+AA102+AA103</f>
        <v>231</v>
      </c>
    </row>
    <row r="105" spans="1:32" s="162" customFormat="1" ht="15.75" thickBot="1">
      <c r="A105" s="153" t="s">
        <v>310</v>
      </c>
      <c r="B105" s="154" t="s">
        <v>311</v>
      </c>
      <c r="C105" s="340">
        <f>175+32+50+3</f>
        <v>260</v>
      </c>
      <c r="D105" s="340">
        <v>230.3</v>
      </c>
      <c r="E105" s="340">
        <f>242+69+46+52.339</f>
        <v>409.339</v>
      </c>
      <c r="F105" s="340">
        <v>413.2</v>
      </c>
      <c r="G105" s="340">
        <v>337</v>
      </c>
      <c r="H105" s="340">
        <v>275.31</v>
      </c>
      <c r="I105" s="340">
        <v>293.94</v>
      </c>
      <c r="J105" s="340">
        <v>282</v>
      </c>
      <c r="K105" s="340">
        <v>241.9</v>
      </c>
      <c r="L105" s="340">
        <v>256.5</v>
      </c>
      <c r="M105" s="340">
        <v>215.6</v>
      </c>
      <c r="N105" s="340">
        <v>228.8</v>
      </c>
      <c r="O105" s="340">
        <v>231</v>
      </c>
      <c r="P105" s="341">
        <v>231</v>
      </c>
      <c r="Q105" s="370"/>
      <c r="R105" s="195"/>
      <c r="T105" s="371">
        <f t="shared" ref="T105:Y105" si="18">T104-T100</f>
        <v>261.89999999999998</v>
      </c>
      <c r="U105" s="372">
        <f t="shared" si="18"/>
        <v>246.20000000000002</v>
      </c>
      <c r="V105" s="372">
        <f t="shared" si="18"/>
        <v>211.7</v>
      </c>
      <c r="W105" s="372">
        <f t="shared" si="18"/>
        <v>198.5</v>
      </c>
      <c r="X105" s="372">
        <f t="shared" si="18"/>
        <v>161.60000000000002</v>
      </c>
      <c r="Y105" s="372">
        <f t="shared" si="18"/>
        <v>177.8</v>
      </c>
      <c r="Z105" s="372">
        <f>Z104-Z100</f>
        <v>180</v>
      </c>
      <c r="AA105" s="373">
        <f>AA104-AA100</f>
        <v>180</v>
      </c>
    </row>
    <row r="106" spans="1:32" s="162" customFormat="1" ht="15">
      <c r="A106" s="153" t="s">
        <v>312</v>
      </c>
      <c r="B106" s="154" t="s">
        <v>311</v>
      </c>
      <c r="C106" s="307" t="s">
        <v>251</v>
      </c>
      <c r="D106" s="307">
        <v>6</v>
      </c>
      <c r="E106" s="307">
        <v>59.9</v>
      </c>
      <c r="F106" s="307">
        <v>54</v>
      </c>
      <c r="G106" s="307">
        <v>56.1</v>
      </c>
      <c r="H106" s="307">
        <v>56.4</v>
      </c>
      <c r="I106" s="307">
        <v>60.7</v>
      </c>
      <c r="J106" s="307">
        <v>56.4</v>
      </c>
      <c r="K106" s="307">
        <v>65</v>
      </c>
      <c r="L106" s="307">
        <v>54.5</v>
      </c>
      <c r="M106" s="307">
        <v>50</v>
      </c>
      <c r="N106" s="307">
        <v>50</v>
      </c>
      <c r="O106" s="307">
        <v>50</v>
      </c>
      <c r="P106" s="374">
        <v>50</v>
      </c>
      <c r="Q106" s="175"/>
      <c r="R106" s="195"/>
    </row>
    <row r="107" spans="1:32" s="162" customFormat="1" ht="15.75" thickBot="1">
      <c r="A107" s="375" t="s">
        <v>313</v>
      </c>
      <c r="B107" s="376" t="s">
        <v>311</v>
      </c>
      <c r="C107" s="377">
        <f>215.48+82</f>
        <v>297.48</v>
      </c>
      <c r="D107" s="377">
        <v>282.68</v>
      </c>
      <c r="E107" s="377">
        <v>267.94600000000003</v>
      </c>
      <c r="F107" s="377">
        <v>247.77</v>
      </c>
      <c r="G107" s="377">
        <v>244.35</v>
      </c>
      <c r="H107" s="377">
        <v>236.47</v>
      </c>
      <c r="I107" s="377">
        <v>239.7</v>
      </c>
      <c r="J107" s="377">
        <v>250.97</v>
      </c>
      <c r="K107" s="377">
        <v>243.36</v>
      </c>
      <c r="L107" s="377">
        <v>246.7</v>
      </c>
      <c r="M107" s="377">
        <v>244.2</v>
      </c>
      <c r="N107" s="377">
        <v>253.97</v>
      </c>
      <c r="O107" s="377">
        <v>253.97</v>
      </c>
      <c r="P107" s="378">
        <v>253.97</v>
      </c>
      <c r="Q107" s="370"/>
      <c r="R107" s="195"/>
      <c r="V107" s="162">
        <f>224.8/12*9</f>
        <v>168.60000000000002</v>
      </c>
      <c r="W107" s="162">
        <f>W105/12*9</f>
        <v>148.875</v>
      </c>
    </row>
    <row r="122" spans="2:256">
      <c r="J122" s="49">
        <f>2039/2756</f>
        <v>0.73984034833091439</v>
      </c>
    </row>
    <row r="123" spans="2:256">
      <c r="J123" s="49">
        <f>2763*0.74</f>
        <v>2044.62</v>
      </c>
    </row>
    <row r="126" spans="2:256" s="53" customFormat="1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</row>
    <row r="127" spans="2:256" s="53" customFormat="1"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</row>
    <row r="128" spans="2:256" s="53" customFormat="1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</row>
    <row r="129" spans="2:256" s="53" customFormat="1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</row>
    <row r="130" spans="2:256" s="53" customFormat="1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</row>
    <row r="131" spans="2:256" s="53" customFormat="1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</sheetData>
  <mergeCells count="38">
    <mergeCell ref="S98:AA98"/>
    <mergeCell ref="A99:P99"/>
    <mergeCell ref="A61:O61"/>
    <mergeCell ref="A72:P72"/>
    <mergeCell ref="A74:P74"/>
    <mergeCell ref="A81:P81"/>
    <mergeCell ref="A88:P88"/>
    <mergeCell ref="A97:P97"/>
    <mergeCell ref="A59:P59"/>
    <mergeCell ref="A28:P28"/>
    <mergeCell ref="A30:B30"/>
    <mergeCell ref="A32:B32"/>
    <mergeCell ref="A34:P34"/>
    <mergeCell ref="A37:P37"/>
    <mergeCell ref="A39:B39"/>
    <mergeCell ref="A40:P40"/>
    <mergeCell ref="A43:P43"/>
    <mergeCell ref="A45:P45"/>
    <mergeCell ref="A47:P47"/>
    <mergeCell ref="A55:P55"/>
    <mergeCell ref="A27:B27"/>
    <mergeCell ref="A7:B7"/>
    <mergeCell ref="A9:B9"/>
    <mergeCell ref="A11:P11"/>
    <mergeCell ref="A12:P12"/>
    <mergeCell ref="A14:B14"/>
    <mergeCell ref="A15:P15"/>
    <mergeCell ref="A16:P16"/>
    <mergeCell ref="A18:B18"/>
    <mergeCell ref="A19:P19"/>
    <mergeCell ref="A21:P21"/>
    <mergeCell ref="A25:P25"/>
    <mergeCell ref="A5:P5"/>
    <mergeCell ref="A2:P2"/>
    <mergeCell ref="AW2:BA2"/>
    <mergeCell ref="A3:A4"/>
    <mergeCell ref="B3:B4"/>
    <mergeCell ref="N3:P3"/>
  </mergeCells>
  <printOptions horizontalCentered="1"/>
  <pageMargins left="0.23622047244094491" right="0" top="0.27559055118110237" bottom="0.27559055118110237" header="0" footer="0"/>
  <pageSetup paperSize="9" scale="82" fitToHeight="4" orientation="landscape" r:id="rId1"/>
  <headerFooter alignWithMargins="0"/>
  <rowBreaks count="2" manualBreakCount="2">
    <brk id="60" max="15" man="1"/>
    <brk id="9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Normal="100" workbookViewId="0">
      <selection activeCell="H25" sqref="H25"/>
    </sheetView>
  </sheetViews>
  <sheetFormatPr defaultRowHeight="15"/>
  <cols>
    <col min="1" max="1" width="4.7109375" style="54" customWidth="1"/>
    <col min="2" max="2" width="33.42578125" style="54" customWidth="1"/>
    <col min="3" max="4" width="12.28515625" style="54" customWidth="1"/>
    <col min="5" max="5" width="15.28515625" style="54" customWidth="1"/>
    <col min="6" max="6" width="12.7109375" style="54" customWidth="1"/>
    <col min="7" max="7" width="10.85546875" style="54" customWidth="1"/>
    <col min="8" max="256" width="9.140625" style="54"/>
    <col min="257" max="257" width="4.7109375" style="54" customWidth="1"/>
    <col min="258" max="258" width="33.42578125" style="54" customWidth="1"/>
    <col min="259" max="260" width="12.28515625" style="54" customWidth="1"/>
    <col min="261" max="261" width="15.28515625" style="54" customWidth="1"/>
    <col min="262" max="262" width="12.7109375" style="54" customWidth="1"/>
    <col min="263" max="263" width="10.85546875" style="54" customWidth="1"/>
    <col min="264" max="512" width="9.140625" style="54"/>
    <col min="513" max="513" width="4.7109375" style="54" customWidth="1"/>
    <col min="514" max="514" width="33.42578125" style="54" customWidth="1"/>
    <col min="515" max="516" width="12.28515625" style="54" customWidth="1"/>
    <col min="517" max="517" width="15.28515625" style="54" customWidth="1"/>
    <col min="518" max="518" width="12.7109375" style="54" customWidth="1"/>
    <col min="519" max="519" width="10.85546875" style="54" customWidth="1"/>
    <col min="520" max="768" width="9.140625" style="54"/>
    <col min="769" max="769" width="4.7109375" style="54" customWidth="1"/>
    <col min="770" max="770" width="33.42578125" style="54" customWidth="1"/>
    <col min="771" max="772" width="12.28515625" style="54" customWidth="1"/>
    <col min="773" max="773" width="15.28515625" style="54" customWidth="1"/>
    <col min="774" max="774" width="12.7109375" style="54" customWidth="1"/>
    <col min="775" max="775" width="10.85546875" style="54" customWidth="1"/>
    <col min="776" max="1024" width="9.140625" style="54"/>
    <col min="1025" max="1025" width="4.7109375" style="54" customWidth="1"/>
    <col min="1026" max="1026" width="33.42578125" style="54" customWidth="1"/>
    <col min="1027" max="1028" width="12.28515625" style="54" customWidth="1"/>
    <col min="1029" max="1029" width="15.28515625" style="54" customWidth="1"/>
    <col min="1030" max="1030" width="12.7109375" style="54" customWidth="1"/>
    <col min="1031" max="1031" width="10.85546875" style="54" customWidth="1"/>
    <col min="1032" max="1280" width="9.140625" style="54"/>
    <col min="1281" max="1281" width="4.7109375" style="54" customWidth="1"/>
    <col min="1282" max="1282" width="33.42578125" style="54" customWidth="1"/>
    <col min="1283" max="1284" width="12.28515625" style="54" customWidth="1"/>
    <col min="1285" max="1285" width="15.28515625" style="54" customWidth="1"/>
    <col min="1286" max="1286" width="12.7109375" style="54" customWidth="1"/>
    <col min="1287" max="1287" width="10.85546875" style="54" customWidth="1"/>
    <col min="1288" max="1536" width="9.140625" style="54"/>
    <col min="1537" max="1537" width="4.7109375" style="54" customWidth="1"/>
    <col min="1538" max="1538" width="33.42578125" style="54" customWidth="1"/>
    <col min="1539" max="1540" width="12.28515625" style="54" customWidth="1"/>
    <col min="1541" max="1541" width="15.28515625" style="54" customWidth="1"/>
    <col min="1542" max="1542" width="12.7109375" style="54" customWidth="1"/>
    <col min="1543" max="1543" width="10.85546875" style="54" customWidth="1"/>
    <col min="1544" max="1792" width="9.140625" style="54"/>
    <col min="1793" max="1793" width="4.7109375" style="54" customWidth="1"/>
    <col min="1794" max="1794" width="33.42578125" style="54" customWidth="1"/>
    <col min="1795" max="1796" width="12.28515625" style="54" customWidth="1"/>
    <col min="1797" max="1797" width="15.28515625" style="54" customWidth="1"/>
    <col min="1798" max="1798" width="12.7109375" style="54" customWidth="1"/>
    <col min="1799" max="1799" width="10.85546875" style="54" customWidth="1"/>
    <col min="1800" max="2048" width="9.140625" style="54"/>
    <col min="2049" max="2049" width="4.7109375" style="54" customWidth="1"/>
    <col min="2050" max="2050" width="33.42578125" style="54" customWidth="1"/>
    <col min="2051" max="2052" width="12.28515625" style="54" customWidth="1"/>
    <col min="2053" max="2053" width="15.28515625" style="54" customWidth="1"/>
    <col min="2054" max="2054" width="12.7109375" style="54" customWidth="1"/>
    <col min="2055" max="2055" width="10.85546875" style="54" customWidth="1"/>
    <col min="2056" max="2304" width="9.140625" style="54"/>
    <col min="2305" max="2305" width="4.7109375" style="54" customWidth="1"/>
    <col min="2306" max="2306" width="33.42578125" style="54" customWidth="1"/>
    <col min="2307" max="2308" width="12.28515625" style="54" customWidth="1"/>
    <col min="2309" max="2309" width="15.28515625" style="54" customWidth="1"/>
    <col min="2310" max="2310" width="12.7109375" style="54" customWidth="1"/>
    <col min="2311" max="2311" width="10.85546875" style="54" customWidth="1"/>
    <col min="2312" max="2560" width="9.140625" style="54"/>
    <col min="2561" max="2561" width="4.7109375" style="54" customWidth="1"/>
    <col min="2562" max="2562" width="33.42578125" style="54" customWidth="1"/>
    <col min="2563" max="2564" width="12.28515625" style="54" customWidth="1"/>
    <col min="2565" max="2565" width="15.28515625" style="54" customWidth="1"/>
    <col min="2566" max="2566" width="12.7109375" style="54" customWidth="1"/>
    <col min="2567" max="2567" width="10.85546875" style="54" customWidth="1"/>
    <col min="2568" max="2816" width="9.140625" style="54"/>
    <col min="2817" max="2817" width="4.7109375" style="54" customWidth="1"/>
    <col min="2818" max="2818" width="33.42578125" style="54" customWidth="1"/>
    <col min="2819" max="2820" width="12.28515625" style="54" customWidth="1"/>
    <col min="2821" max="2821" width="15.28515625" style="54" customWidth="1"/>
    <col min="2822" max="2822" width="12.7109375" style="54" customWidth="1"/>
    <col min="2823" max="2823" width="10.85546875" style="54" customWidth="1"/>
    <col min="2824" max="3072" width="9.140625" style="54"/>
    <col min="3073" max="3073" width="4.7109375" style="54" customWidth="1"/>
    <col min="3074" max="3074" width="33.42578125" style="54" customWidth="1"/>
    <col min="3075" max="3076" width="12.28515625" style="54" customWidth="1"/>
    <col min="3077" max="3077" width="15.28515625" style="54" customWidth="1"/>
    <col min="3078" max="3078" width="12.7109375" style="54" customWidth="1"/>
    <col min="3079" max="3079" width="10.85546875" style="54" customWidth="1"/>
    <col min="3080" max="3328" width="9.140625" style="54"/>
    <col min="3329" max="3329" width="4.7109375" style="54" customWidth="1"/>
    <col min="3330" max="3330" width="33.42578125" style="54" customWidth="1"/>
    <col min="3331" max="3332" width="12.28515625" style="54" customWidth="1"/>
    <col min="3333" max="3333" width="15.28515625" style="54" customWidth="1"/>
    <col min="3334" max="3334" width="12.7109375" style="54" customWidth="1"/>
    <col min="3335" max="3335" width="10.85546875" style="54" customWidth="1"/>
    <col min="3336" max="3584" width="9.140625" style="54"/>
    <col min="3585" max="3585" width="4.7109375" style="54" customWidth="1"/>
    <col min="3586" max="3586" width="33.42578125" style="54" customWidth="1"/>
    <col min="3587" max="3588" width="12.28515625" style="54" customWidth="1"/>
    <col min="3589" max="3589" width="15.28515625" style="54" customWidth="1"/>
    <col min="3590" max="3590" width="12.7109375" style="54" customWidth="1"/>
    <col min="3591" max="3591" width="10.85546875" style="54" customWidth="1"/>
    <col min="3592" max="3840" width="9.140625" style="54"/>
    <col min="3841" max="3841" width="4.7109375" style="54" customWidth="1"/>
    <col min="3842" max="3842" width="33.42578125" style="54" customWidth="1"/>
    <col min="3843" max="3844" width="12.28515625" style="54" customWidth="1"/>
    <col min="3845" max="3845" width="15.28515625" style="54" customWidth="1"/>
    <col min="3846" max="3846" width="12.7109375" style="54" customWidth="1"/>
    <col min="3847" max="3847" width="10.85546875" style="54" customWidth="1"/>
    <col min="3848" max="4096" width="9.140625" style="54"/>
    <col min="4097" max="4097" width="4.7109375" style="54" customWidth="1"/>
    <col min="4098" max="4098" width="33.42578125" style="54" customWidth="1"/>
    <col min="4099" max="4100" width="12.28515625" style="54" customWidth="1"/>
    <col min="4101" max="4101" width="15.28515625" style="54" customWidth="1"/>
    <col min="4102" max="4102" width="12.7109375" style="54" customWidth="1"/>
    <col min="4103" max="4103" width="10.85546875" style="54" customWidth="1"/>
    <col min="4104" max="4352" width="9.140625" style="54"/>
    <col min="4353" max="4353" width="4.7109375" style="54" customWidth="1"/>
    <col min="4354" max="4354" width="33.42578125" style="54" customWidth="1"/>
    <col min="4355" max="4356" width="12.28515625" style="54" customWidth="1"/>
    <col min="4357" max="4357" width="15.28515625" style="54" customWidth="1"/>
    <col min="4358" max="4358" width="12.7109375" style="54" customWidth="1"/>
    <col min="4359" max="4359" width="10.85546875" style="54" customWidth="1"/>
    <col min="4360" max="4608" width="9.140625" style="54"/>
    <col min="4609" max="4609" width="4.7109375" style="54" customWidth="1"/>
    <col min="4610" max="4610" width="33.42578125" style="54" customWidth="1"/>
    <col min="4611" max="4612" width="12.28515625" style="54" customWidth="1"/>
    <col min="4613" max="4613" width="15.28515625" style="54" customWidth="1"/>
    <col min="4614" max="4614" width="12.7109375" style="54" customWidth="1"/>
    <col min="4615" max="4615" width="10.85546875" style="54" customWidth="1"/>
    <col min="4616" max="4864" width="9.140625" style="54"/>
    <col min="4865" max="4865" width="4.7109375" style="54" customWidth="1"/>
    <col min="4866" max="4866" width="33.42578125" style="54" customWidth="1"/>
    <col min="4867" max="4868" width="12.28515625" style="54" customWidth="1"/>
    <col min="4869" max="4869" width="15.28515625" style="54" customWidth="1"/>
    <col min="4870" max="4870" width="12.7109375" style="54" customWidth="1"/>
    <col min="4871" max="4871" width="10.85546875" style="54" customWidth="1"/>
    <col min="4872" max="5120" width="9.140625" style="54"/>
    <col min="5121" max="5121" width="4.7109375" style="54" customWidth="1"/>
    <col min="5122" max="5122" width="33.42578125" style="54" customWidth="1"/>
    <col min="5123" max="5124" width="12.28515625" style="54" customWidth="1"/>
    <col min="5125" max="5125" width="15.28515625" style="54" customWidth="1"/>
    <col min="5126" max="5126" width="12.7109375" style="54" customWidth="1"/>
    <col min="5127" max="5127" width="10.85546875" style="54" customWidth="1"/>
    <col min="5128" max="5376" width="9.140625" style="54"/>
    <col min="5377" max="5377" width="4.7109375" style="54" customWidth="1"/>
    <col min="5378" max="5378" width="33.42578125" style="54" customWidth="1"/>
    <col min="5379" max="5380" width="12.28515625" style="54" customWidth="1"/>
    <col min="5381" max="5381" width="15.28515625" style="54" customWidth="1"/>
    <col min="5382" max="5382" width="12.7109375" style="54" customWidth="1"/>
    <col min="5383" max="5383" width="10.85546875" style="54" customWidth="1"/>
    <col min="5384" max="5632" width="9.140625" style="54"/>
    <col min="5633" max="5633" width="4.7109375" style="54" customWidth="1"/>
    <col min="5634" max="5634" width="33.42578125" style="54" customWidth="1"/>
    <col min="5635" max="5636" width="12.28515625" style="54" customWidth="1"/>
    <col min="5637" max="5637" width="15.28515625" style="54" customWidth="1"/>
    <col min="5638" max="5638" width="12.7109375" style="54" customWidth="1"/>
    <col min="5639" max="5639" width="10.85546875" style="54" customWidth="1"/>
    <col min="5640" max="5888" width="9.140625" style="54"/>
    <col min="5889" max="5889" width="4.7109375" style="54" customWidth="1"/>
    <col min="5890" max="5890" width="33.42578125" style="54" customWidth="1"/>
    <col min="5891" max="5892" width="12.28515625" style="54" customWidth="1"/>
    <col min="5893" max="5893" width="15.28515625" style="54" customWidth="1"/>
    <col min="5894" max="5894" width="12.7109375" style="54" customWidth="1"/>
    <col min="5895" max="5895" width="10.85546875" style="54" customWidth="1"/>
    <col min="5896" max="6144" width="9.140625" style="54"/>
    <col min="6145" max="6145" width="4.7109375" style="54" customWidth="1"/>
    <col min="6146" max="6146" width="33.42578125" style="54" customWidth="1"/>
    <col min="6147" max="6148" width="12.28515625" style="54" customWidth="1"/>
    <col min="6149" max="6149" width="15.28515625" style="54" customWidth="1"/>
    <col min="6150" max="6150" width="12.7109375" style="54" customWidth="1"/>
    <col min="6151" max="6151" width="10.85546875" style="54" customWidth="1"/>
    <col min="6152" max="6400" width="9.140625" style="54"/>
    <col min="6401" max="6401" width="4.7109375" style="54" customWidth="1"/>
    <col min="6402" max="6402" width="33.42578125" style="54" customWidth="1"/>
    <col min="6403" max="6404" width="12.28515625" style="54" customWidth="1"/>
    <col min="6405" max="6405" width="15.28515625" style="54" customWidth="1"/>
    <col min="6406" max="6406" width="12.7109375" style="54" customWidth="1"/>
    <col min="6407" max="6407" width="10.85546875" style="54" customWidth="1"/>
    <col min="6408" max="6656" width="9.140625" style="54"/>
    <col min="6657" max="6657" width="4.7109375" style="54" customWidth="1"/>
    <col min="6658" max="6658" width="33.42578125" style="54" customWidth="1"/>
    <col min="6659" max="6660" width="12.28515625" style="54" customWidth="1"/>
    <col min="6661" max="6661" width="15.28515625" style="54" customWidth="1"/>
    <col min="6662" max="6662" width="12.7109375" style="54" customWidth="1"/>
    <col min="6663" max="6663" width="10.85546875" style="54" customWidth="1"/>
    <col min="6664" max="6912" width="9.140625" style="54"/>
    <col min="6913" max="6913" width="4.7109375" style="54" customWidth="1"/>
    <col min="6914" max="6914" width="33.42578125" style="54" customWidth="1"/>
    <col min="6915" max="6916" width="12.28515625" style="54" customWidth="1"/>
    <col min="6917" max="6917" width="15.28515625" style="54" customWidth="1"/>
    <col min="6918" max="6918" width="12.7109375" style="54" customWidth="1"/>
    <col min="6919" max="6919" width="10.85546875" style="54" customWidth="1"/>
    <col min="6920" max="7168" width="9.140625" style="54"/>
    <col min="7169" max="7169" width="4.7109375" style="54" customWidth="1"/>
    <col min="7170" max="7170" width="33.42578125" style="54" customWidth="1"/>
    <col min="7171" max="7172" width="12.28515625" style="54" customWidth="1"/>
    <col min="7173" max="7173" width="15.28515625" style="54" customWidth="1"/>
    <col min="7174" max="7174" width="12.7109375" style="54" customWidth="1"/>
    <col min="7175" max="7175" width="10.85546875" style="54" customWidth="1"/>
    <col min="7176" max="7424" width="9.140625" style="54"/>
    <col min="7425" max="7425" width="4.7109375" style="54" customWidth="1"/>
    <col min="7426" max="7426" width="33.42578125" style="54" customWidth="1"/>
    <col min="7427" max="7428" width="12.28515625" style="54" customWidth="1"/>
    <col min="7429" max="7429" width="15.28515625" style="54" customWidth="1"/>
    <col min="7430" max="7430" width="12.7109375" style="54" customWidth="1"/>
    <col min="7431" max="7431" width="10.85546875" style="54" customWidth="1"/>
    <col min="7432" max="7680" width="9.140625" style="54"/>
    <col min="7681" max="7681" width="4.7109375" style="54" customWidth="1"/>
    <col min="7682" max="7682" width="33.42578125" style="54" customWidth="1"/>
    <col min="7683" max="7684" width="12.28515625" style="54" customWidth="1"/>
    <col min="7685" max="7685" width="15.28515625" style="54" customWidth="1"/>
    <col min="7686" max="7686" width="12.7109375" style="54" customWidth="1"/>
    <col min="7687" max="7687" width="10.85546875" style="54" customWidth="1"/>
    <col min="7688" max="7936" width="9.140625" style="54"/>
    <col min="7937" max="7937" width="4.7109375" style="54" customWidth="1"/>
    <col min="7938" max="7938" width="33.42578125" style="54" customWidth="1"/>
    <col min="7939" max="7940" width="12.28515625" style="54" customWidth="1"/>
    <col min="7941" max="7941" width="15.28515625" style="54" customWidth="1"/>
    <col min="7942" max="7942" width="12.7109375" style="54" customWidth="1"/>
    <col min="7943" max="7943" width="10.85546875" style="54" customWidth="1"/>
    <col min="7944" max="8192" width="9.140625" style="54"/>
    <col min="8193" max="8193" width="4.7109375" style="54" customWidth="1"/>
    <col min="8194" max="8194" width="33.42578125" style="54" customWidth="1"/>
    <col min="8195" max="8196" width="12.28515625" style="54" customWidth="1"/>
    <col min="8197" max="8197" width="15.28515625" style="54" customWidth="1"/>
    <col min="8198" max="8198" width="12.7109375" style="54" customWidth="1"/>
    <col min="8199" max="8199" width="10.85546875" style="54" customWidth="1"/>
    <col min="8200" max="8448" width="9.140625" style="54"/>
    <col min="8449" max="8449" width="4.7109375" style="54" customWidth="1"/>
    <col min="8450" max="8450" width="33.42578125" style="54" customWidth="1"/>
    <col min="8451" max="8452" width="12.28515625" style="54" customWidth="1"/>
    <col min="8453" max="8453" width="15.28515625" style="54" customWidth="1"/>
    <col min="8454" max="8454" width="12.7109375" style="54" customWidth="1"/>
    <col min="8455" max="8455" width="10.85546875" style="54" customWidth="1"/>
    <col min="8456" max="8704" width="9.140625" style="54"/>
    <col min="8705" max="8705" width="4.7109375" style="54" customWidth="1"/>
    <col min="8706" max="8706" width="33.42578125" style="54" customWidth="1"/>
    <col min="8707" max="8708" width="12.28515625" style="54" customWidth="1"/>
    <col min="8709" max="8709" width="15.28515625" style="54" customWidth="1"/>
    <col min="8710" max="8710" width="12.7109375" style="54" customWidth="1"/>
    <col min="8711" max="8711" width="10.85546875" style="54" customWidth="1"/>
    <col min="8712" max="8960" width="9.140625" style="54"/>
    <col min="8961" max="8961" width="4.7109375" style="54" customWidth="1"/>
    <col min="8962" max="8962" width="33.42578125" style="54" customWidth="1"/>
    <col min="8963" max="8964" width="12.28515625" style="54" customWidth="1"/>
    <col min="8965" max="8965" width="15.28515625" style="54" customWidth="1"/>
    <col min="8966" max="8966" width="12.7109375" style="54" customWidth="1"/>
    <col min="8967" max="8967" width="10.85546875" style="54" customWidth="1"/>
    <col min="8968" max="9216" width="9.140625" style="54"/>
    <col min="9217" max="9217" width="4.7109375" style="54" customWidth="1"/>
    <col min="9218" max="9218" width="33.42578125" style="54" customWidth="1"/>
    <col min="9219" max="9220" width="12.28515625" style="54" customWidth="1"/>
    <col min="9221" max="9221" width="15.28515625" style="54" customWidth="1"/>
    <col min="9222" max="9222" width="12.7109375" style="54" customWidth="1"/>
    <col min="9223" max="9223" width="10.85546875" style="54" customWidth="1"/>
    <col min="9224" max="9472" width="9.140625" style="54"/>
    <col min="9473" max="9473" width="4.7109375" style="54" customWidth="1"/>
    <col min="9474" max="9474" width="33.42578125" style="54" customWidth="1"/>
    <col min="9475" max="9476" width="12.28515625" style="54" customWidth="1"/>
    <col min="9477" max="9477" width="15.28515625" style="54" customWidth="1"/>
    <col min="9478" max="9478" width="12.7109375" style="54" customWidth="1"/>
    <col min="9479" max="9479" width="10.85546875" style="54" customWidth="1"/>
    <col min="9480" max="9728" width="9.140625" style="54"/>
    <col min="9729" max="9729" width="4.7109375" style="54" customWidth="1"/>
    <col min="9730" max="9730" width="33.42578125" style="54" customWidth="1"/>
    <col min="9731" max="9732" width="12.28515625" style="54" customWidth="1"/>
    <col min="9733" max="9733" width="15.28515625" style="54" customWidth="1"/>
    <col min="9734" max="9734" width="12.7109375" style="54" customWidth="1"/>
    <col min="9735" max="9735" width="10.85546875" style="54" customWidth="1"/>
    <col min="9736" max="9984" width="9.140625" style="54"/>
    <col min="9985" max="9985" width="4.7109375" style="54" customWidth="1"/>
    <col min="9986" max="9986" width="33.42578125" style="54" customWidth="1"/>
    <col min="9987" max="9988" width="12.28515625" style="54" customWidth="1"/>
    <col min="9989" max="9989" width="15.28515625" style="54" customWidth="1"/>
    <col min="9990" max="9990" width="12.7109375" style="54" customWidth="1"/>
    <col min="9991" max="9991" width="10.85546875" style="54" customWidth="1"/>
    <col min="9992" max="10240" width="9.140625" style="54"/>
    <col min="10241" max="10241" width="4.7109375" style="54" customWidth="1"/>
    <col min="10242" max="10242" width="33.42578125" style="54" customWidth="1"/>
    <col min="10243" max="10244" width="12.28515625" style="54" customWidth="1"/>
    <col min="10245" max="10245" width="15.28515625" style="54" customWidth="1"/>
    <col min="10246" max="10246" width="12.7109375" style="54" customWidth="1"/>
    <col min="10247" max="10247" width="10.85546875" style="54" customWidth="1"/>
    <col min="10248" max="10496" width="9.140625" style="54"/>
    <col min="10497" max="10497" width="4.7109375" style="54" customWidth="1"/>
    <col min="10498" max="10498" width="33.42578125" style="54" customWidth="1"/>
    <col min="10499" max="10500" width="12.28515625" style="54" customWidth="1"/>
    <col min="10501" max="10501" width="15.28515625" style="54" customWidth="1"/>
    <col min="10502" max="10502" width="12.7109375" style="54" customWidth="1"/>
    <col min="10503" max="10503" width="10.85546875" style="54" customWidth="1"/>
    <col min="10504" max="10752" width="9.140625" style="54"/>
    <col min="10753" max="10753" width="4.7109375" style="54" customWidth="1"/>
    <col min="10754" max="10754" width="33.42578125" style="54" customWidth="1"/>
    <col min="10755" max="10756" width="12.28515625" style="54" customWidth="1"/>
    <col min="10757" max="10757" width="15.28515625" style="54" customWidth="1"/>
    <col min="10758" max="10758" width="12.7109375" style="54" customWidth="1"/>
    <col min="10759" max="10759" width="10.85546875" style="54" customWidth="1"/>
    <col min="10760" max="11008" width="9.140625" style="54"/>
    <col min="11009" max="11009" width="4.7109375" style="54" customWidth="1"/>
    <col min="11010" max="11010" width="33.42578125" style="54" customWidth="1"/>
    <col min="11011" max="11012" width="12.28515625" style="54" customWidth="1"/>
    <col min="11013" max="11013" width="15.28515625" style="54" customWidth="1"/>
    <col min="11014" max="11014" width="12.7109375" style="54" customWidth="1"/>
    <col min="11015" max="11015" width="10.85546875" style="54" customWidth="1"/>
    <col min="11016" max="11264" width="9.140625" style="54"/>
    <col min="11265" max="11265" width="4.7109375" style="54" customWidth="1"/>
    <col min="11266" max="11266" width="33.42578125" style="54" customWidth="1"/>
    <col min="11267" max="11268" width="12.28515625" style="54" customWidth="1"/>
    <col min="11269" max="11269" width="15.28515625" style="54" customWidth="1"/>
    <col min="11270" max="11270" width="12.7109375" style="54" customWidth="1"/>
    <col min="11271" max="11271" width="10.85546875" style="54" customWidth="1"/>
    <col min="11272" max="11520" width="9.140625" style="54"/>
    <col min="11521" max="11521" width="4.7109375" style="54" customWidth="1"/>
    <col min="11522" max="11522" width="33.42578125" style="54" customWidth="1"/>
    <col min="11523" max="11524" width="12.28515625" style="54" customWidth="1"/>
    <col min="11525" max="11525" width="15.28515625" style="54" customWidth="1"/>
    <col min="11526" max="11526" width="12.7109375" style="54" customWidth="1"/>
    <col min="11527" max="11527" width="10.85546875" style="54" customWidth="1"/>
    <col min="11528" max="11776" width="9.140625" style="54"/>
    <col min="11777" max="11777" width="4.7109375" style="54" customWidth="1"/>
    <col min="11778" max="11778" width="33.42578125" style="54" customWidth="1"/>
    <col min="11779" max="11780" width="12.28515625" style="54" customWidth="1"/>
    <col min="11781" max="11781" width="15.28515625" style="54" customWidth="1"/>
    <col min="11782" max="11782" width="12.7109375" style="54" customWidth="1"/>
    <col min="11783" max="11783" width="10.85546875" style="54" customWidth="1"/>
    <col min="11784" max="12032" width="9.140625" style="54"/>
    <col min="12033" max="12033" width="4.7109375" style="54" customWidth="1"/>
    <col min="12034" max="12034" width="33.42578125" style="54" customWidth="1"/>
    <col min="12035" max="12036" width="12.28515625" style="54" customWidth="1"/>
    <col min="12037" max="12037" width="15.28515625" style="54" customWidth="1"/>
    <col min="12038" max="12038" width="12.7109375" style="54" customWidth="1"/>
    <col min="12039" max="12039" width="10.85546875" style="54" customWidth="1"/>
    <col min="12040" max="12288" width="9.140625" style="54"/>
    <col min="12289" max="12289" width="4.7109375" style="54" customWidth="1"/>
    <col min="12290" max="12290" width="33.42578125" style="54" customWidth="1"/>
    <col min="12291" max="12292" width="12.28515625" style="54" customWidth="1"/>
    <col min="12293" max="12293" width="15.28515625" style="54" customWidth="1"/>
    <col min="12294" max="12294" width="12.7109375" style="54" customWidth="1"/>
    <col min="12295" max="12295" width="10.85546875" style="54" customWidth="1"/>
    <col min="12296" max="12544" width="9.140625" style="54"/>
    <col min="12545" max="12545" width="4.7109375" style="54" customWidth="1"/>
    <col min="12546" max="12546" width="33.42578125" style="54" customWidth="1"/>
    <col min="12547" max="12548" width="12.28515625" style="54" customWidth="1"/>
    <col min="12549" max="12549" width="15.28515625" style="54" customWidth="1"/>
    <col min="12550" max="12550" width="12.7109375" style="54" customWidth="1"/>
    <col min="12551" max="12551" width="10.85546875" style="54" customWidth="1"/>
    <col min="12552" max="12800" width="9.140625" style="54"/>
    <col min="12801" max="12801" width="4.7109375" style="54" customWidth="1"/>
    <col min="12802" max="12802" width="33.42578125" style="54" customWidth="1"/>
    <col min="12803" max="12804" width="12.28515625" style="54" customWidth="1"/>
    <col min="12805" max="12805" width="15.28515625" style="54" customWidth="1"/>
    <col min="12806" max="12806" width="12.7109375" style="54" customWidth="1"/>
    <col min="12807" max="12807" width="10.85546875" style="54" customWidth="1"/>
    <col min="12808" max="13056" width="9.140625" style="54"/>
    <col min="13057" max="13057" width="4.7109375" style="54" customWidth="1"/>
    <col min="13058" max="13058" width="33.42578125" style="54" customWidth="1"/>
    <col min="13059" max="13060" width="12.28515625" style="54" customWidth="1"/>
    <col min="13061" max="13061" width="15.28515625" style="54" customWidth="1"/>
    <col min="13062" max="13062" width="12.7109375" style="54" customWidth="1"/>
    <col min="13063" max="13063" width="10.85546875" style="54" customWidth="1"/>
    <col min="13064" max="13312" width="9.140625" style="54"/>
    <col min="13313" max="13313" width="4.7109375" style="54" customWidth="1"/>
    <col min="13314" max="13314" width="33.42578125" style="54" customWidth="1"/>
    <col min="13315" max="13316" width="12.28515625" style="54" customWidth="1"/>
    <col min="13317" max="13317" width="15.28515625" style="54" customWidth="1"/>
    <col min="13318" max="13318" width="12.7109375" style="54" customWidth="1"/>
    <col min="13319" max="13319" width="10.85546875" style="54" customWidth="1"/>
    <col min="13320" max="13568" width="9.140625" style="54"/>
    <col min="13569" max="13569" width="4.7109375" style="54" customWidth="1"/>
    <col min="13570" max="13570" width="33.42578125" style="54" customWidth="1"/>
    <col min="13571" max="13572" width="12.28515625" style="54" customWidth="1"/>
    <col min="13573" max="13573" width="15.28515625" style="54" customWidth="1"/>
    <col min="13574" max="13574" width="12.7109375" style="54" customWidth="1"/>
    <col min="13575" max="13575" width="10.85546875" style="54" customWidth="1"/>
    <col min="13576" max="13824" width="9.140625" style="54"/>
    <col min="13825" max="13825" width="4.7109375" style="54" customWidth="1"/>
    <col min="13826" max="13826" width="33.42578125" style="54" customWidth="1"/>
    <col min="13827" max="13828" width="12.28515625" style="54" customWidth="1"/>
    <col min="13829" max="13829" width="15.28515625" style="54" customWidth="1"/>
    <col min="13830" max="13830" width="12.7109375" style="54" customWidth="1"/>
    <col min="13831" max="13831" width="10.85546875" style="54" customWidth="1"/>
    <col min="13832" max="14080" width="9.140625" style="54"/>
    <col min="14081" max="14081" width="4.7109375" style="54" customWidth="1"/>
    <col min="14082" max="14082" width="33.42578125" style="54" customWidth="1"/>
    <col min="14083" max="14084" width="12.28515625" style="54" customWidth="1"/>
    <col min="14085" max="14085" width="15.28515625" style="54" customWidth="1"/>
    <col min="14086" max="14086" width="12.7109375" style="54" customWidth="1"/>
    <col min="14087" max="14087" width="10.85546875" style="54" customWidth="1"/>
    <col min="14088" max="14336" width="9.140625" style="54"/>
    <col min="14337" max="14337" width="4.7109375" style="54" customWidth="1"/>
    <col min="14338" max="14338" width="33.42578125" style="54" customWidth="1"/>
    <col min="14339" max="14340" width="12.28515625" style="54" customWidth="1"/>
    <col min="14341" max="14341" width="15.28515625" style="54" customWidth="1"/>
    <col min="14342" max="14342" width="12.7109375" style="54" customWidth="1"/>
    <col min="14343" max="14343" width="10.85546875" style="54" customWidth="1"/>
    <col min="14344" max="14592" width="9.140625" style="54"/>
    <col min="14593" max="14593" width="4.7109375" style="54" customWidth="1"/>
    <col min="14594" max="14594" width="33.42578125" style="54" customWidth="1"/>
    <col min="14595" max="14596" width="12.28515625" style="54" customWidth="1"/>
    <col min="14597" max="14597" width="15.28515625" style="54" customWidth="1"/>
    <col min="14598" max="14598" width="12.7109375" style="54" customWidth="1"/>
    <col min="14599" max="14599" width="10.85546875" style="54" customWidth="1"/>
    <col min="14600" max="14848" width="9.140625" style="54"/>
    <col min="14849" max="14849" width="4.7109375" style="54" customWidth="1"/>
    <col min="14850" max="14850" width="33.42578125" style="54" customWidth="1"/>
    <col min="14851" max="14852" width="12.28515625" style="54" customWidth="1"/>
    <col min="14853" max="14853" width="15.28515625" style="54" customWidth="1"/>
    <col min="14854" max="14854" width="12.7109375" style="54" customWidth="1"/>
    <col min="14855" max="14855" width="10.85546875" style="54" customWidth="1"/>
    <col min="14856" max="15104" width="9.140625" style="54"/>
    <col min="15105" max="15105" width="4.7109375" style="54" customWidth="1"/>
    <col min="15106" max="15106" width="33.42578125" style="54" customWidth="1"/>
    <col min="15107" max="15108" width="12.28515625" style="54" customWidth="1"/>
    <col min="15109" max="15109" width="15.28515625" style="54" customWidth="1"/>
    <col min="15110" max="15110" width="12.7109375" style="54" customWidth="1"/>
    <col min="15111" max="15111" width="10.85546875" style="54" customWidth="1"/>
    <col min="15112" max="15360" width="9.140625" style="54"/>
    <col min="15361" max="15361" width="4.7109375" style="54" customWidth="1"/>
    <col min="15362" max="15362" width="33.42578125" style="54" customWidth="1"/>
    <col min="15363" max="15364" width="12.28515625" style="54" customWidth="1"/>
    <col min="15365" max="15365" width="15.28515625" style="54" customWidth="1"/>
    <col min="15366" max="15366" width="12.7109375" style="54" customWidth="1"/>
    <col min="15367" max="15367" width="10.85546875" style="54" customWidth="1"/>
    <col min="15368" max="15616" width="9.140625" style="54"/>
    <col min="15617" max="15617" width="4.7109375" style="54" customWidth="1"/>
    <col min="15618" max="15618" width="33.42578125" style="54" customWidth="1"/>
    <col min="15619" max="15620" width="12.28515625" style="54" customWidth="1"/>
    <col min="15621" max="15621" width="15.28515625" style="54" customWidth="1"/>
    <col min="15622" max="15622" width="12.7109375" style="54" customWidth="1"/>
    <col min="15623" max="15623" width="10.85546875" style="54" customWidth="1"/>
    <col min="15624" max="15872" width="9.140625" style="54"/>
    <col min="15873" max="15873" width="4.7109375" style="54" customWidth="1"/>
    <col min="15874" max="15874" width="33.42578125" style="54" customWidth="1"/>
    <col min="15875" max="15876" width="12.28515625" style="54" customWidth="1"/>
    <col min="15877" max="15877" width="15.28515625" style="54" customWidth="1"/>
    <col min="15878" max="15878" width="12.7109375" style="54" customWidth="1"/>
    <col min="15879" max="15879" width="10.85546875" style="54" customWidth="1"/>
    <col min="15880" max="16128" width="9.140625" style="54"/>
    <col min="16129" max="16129" width="4.7109375" style="54" customWidth="1"/>
    <col min="16130" max="16130" width="33.42578125" style="54" customWidth="1"/>
    <col min="16131" max="16132" width="12.28515625" style="54" customWidth="1"/>
    <col min="16133" max="16133" width="15.28515625" style="54" customWidth="1"/>
    <col min="16134" max="16134" width="12.7109375" style="54" customWidth="1"/>
    <col min="16135" max="16135" width="10.85546875" style="54" customWidth="1"/>
    <col min="16136" max="16384" width="9.140625" style="54"/>
  </cols>
  <sheetData>
    <row r="1" spans="1:8">
      <c r="E1" s="455" t="s">
        <v>504</v>
      </c>
      <c r="F1" s="455"/>
      <c r="G1" s="455"/>
      <c r="H1" s="455"/>
    </row>
    <row r="2" spans="1:8" ht="34.5" customHeight="1">
      <c r="E2" s="456" t="s">
        <v>505</v>
      </c>
      <c r="F2" s="456"/>
      <c r="G2" s="456"/>
      <c r="H2" s="456"/>
    </row>
    <row r="5" spans="1:8" ht="51.75" customHeight="1">
      <c r="A5" s="457" t="s">
        <v>506</v>
      </c>
      <c r="B5" s="457"/>
      <c r="C5" s="457"/>
      <c r="D5" s="457"/>
      <c r="E5" s="457"/>
      <c r="F5" s="457"/>
      <c r="G5" s="457"/>
      <c r="H5" s="457"/>
    </row>
    <row r="7" spans="1:8" ht="15.75" thickBot="1"/>
    <row r="8" spans="1:8" ht="31.5" customHeight="1">
      <c r="A8" s="458" t="s">
        <v>314</v>
      </c>
      <c r="B8" s="452"/>
      <c r="C8" s="460" t="s">
        <v>507</v>
      </c>
      <c r="D8" s="462" t="s">
        <v>508</v>
      </c>
      <c r="E8" s="460" t="s">
        <v>509</v>
      </c>
      <c r="F8" s="460" t="s">
        <v>316</v>
      </c>
      <c r="G8" s="460"/>
      <c r="H8" s="464"/>
    </row>
    <row r="9" spans="1:8" ht="16.5" thickBot="1">
      <c r="A9" s="459"/>
      <c r="B9" s="454"/>
      <c r="C9" s="461"/>
      <c r="D9" s="463"/>
      <c r="E9" s="461"/>
      <c r="F9" s="55" t="s">
        <v>317</v>
      </c>
      <c r="G9" s="55" t="s">
        <v>418</v>
      </c>
      <c r="H9" s="56" t="s">
        <v>510</v>
      </c>
    </row>
    <row r="10" spans="1:8" ht="37.5" customHeight="1">
      <c r="A10" s="449" t="s">
        <v>318</v>
      </c>
      <c r="B10" s="57" t="s">
        <v>319</v>
      </c>
      <c r="C10" s="452" t="s">
        <v>301</v>
      </c>
      <c r="D10" s="379">
        <f>D12+D13</f>
        <v>73.3</v>
      </c>
      <c r="E10" s="379">
        <f>E12+E13</f>
        <v>75.099999999999994</v>
      </c>
      <c r="F10" s="379">
        <f>F12+F13</f>
        <v>77.7</v>
      </c>
      <c r="G10" s="379">
        <f>G12+G13</f>
        <v>78.5</v>
      </c>
      <c r="H10" s="380">
        <f>H12+H13</f>
        <v>79.3</v>
      </c>
    </row>
    <row r="11" spans="1:8" ht="15.75">
      <c r="A11" s="450"/>
      <c r="B11" s="58" t="s">
        <v>248</v>
      </c>
      <c r="C11" s="453"/>
      <c r="D11" s="104"/>
      <c r="E11" s="59"/>
      <c r="F11" s="59"/>
      <c r="G11" s="59"/>
      <c r="H11" s="60"/>
    </row>
    <row r="12" spans="1:8" ht="15.75">
      <c r="A12" s="450"/>
      <c r="B12" s="61" t="s">
        <v>320</v>
      </c>
      <c r="C12" s="453"/>
      <c r="D12" s="104">
        <v>63.2</v>
      </c>
      <c r="E12" s="62">
        <v>64.5</v>
      </c>
      <c r="F12" s="62">
        <v>70.2</v>
      </c>
      <c r="G12" s="62">
        <v>70.900000000000006</v>
      </c>
      <c r="H12" s="63">
        <v>71.599999999999994</v>
      </c>
    </row>
    <row r="13" spans="1:8" ht="16.5" thickBot="1">
      <c r="A13" s="451"/>
      <c r="B13" s="64" t="s">
        <v>321</v>
      </c>
      <c r="C13" s="454"/>
      <c r="D13" s="105">
        <v>10.1</v>
      </c>
      <c r="E13" s="65">
        <v>10.6</v>
      </c>
      <c r="F13" s="65">
        <v>7.5</v>
      </c>
      <c r="G13" s="65">
        <v>7.6</v>
      </c>
      <c r="H13" s="66">
        <v>7.7</v>
      </c>
    </row>
    <row r="14" spans="1:8" ht="15.75">
      <c r="A14" s="449" t="s">
        <v>322</v>
      </c>
      <c r="B14" s="57" t="s">
        <v>511</v>
      </c>
      <c r="C14" s="452" t="s">
        <v>305</v>
      </c>
      <c r="D14" s="67">
        <f>D16+D17+D18</f>
        <v>124.5</v>
      </c>
      <c r="E14" s="381">
        <f>E16+E17+E18</f>
        <v>126</v>
      </c>
      <c r="F14" s="67">
        <f>F16+F17+F18</f>
        <v>126.79999999999998</v>
      </c>
      <c r="G14" s="67">
        <f>G16+G17+G18</f>
        <v>128.10000000000002</v>
      </c>
      <c r="H14" s="68">
        <f>H16+H17+H18</f>
        <v>129.39999999999998</v>
      </c>
    </row>
    <row r="15" spans="1:8" ht="15.75">
      <c r="A15" s="450"/>
      <c r="B15" s="58" t="s">
        <v>248</v>
      </c>
      <c r="C15" s="453"/>
      <c r="D15" s="104"/>
      <c r="E15" s="59"/>
      <c r="F15" s="59"/>
      <c r="G15" s="59"/>
      <c r="H15" s="60"/>
    </row>
    <row r="16" spans="1:8" ht="15.75">
      <c r="A16" s="450"/>
      <c r="B16" s="61" t="s">
        <v>323</v>
      </c>
      <c r="C16" s="453"/>
      <c r="D16" s="104">
        <v>87.1</v>
      </c>
      <c r="E16" s="382">
        <v>83.6</v>
      </c>
      <c r="F16" s="69">
        <v>87.8</v>
      </c>
      <c r="G16" s="69">
        <v>88.7</v>
      </c>
      <c r="H16" s="70">
        <v>89.6</v>
      </c>
    </row>
    <row r="17" spans="1:9" ht="15.75">
      <c r="A17" s="450"/>
      <c r="B17" s="61" t="s">
        <v>321</v>
      </c>
      <c r="C17" s="453"/>
      <c r="D17" s="104">
        <v>18.7</v>
      </c>
      <c r="E17" s="69">
        <v>23.9</v>
      </c>
      <c r="F17" s="69">
        <v>20.399999999999999</v>
      </c>
      <c r="G17" s="69">
        <v>20.6</v>
      </c>
      <c r="H17" s="70">
        <v>20.8</v>
      </c>
    </row>
    <row r="18" spans="1:9" ht="16.5" thickBot="1">
      <c r="A18" s="451"/>
      <c r="B18" s="64" t="s">
        <v>324</v>
      </c>
      <c r="C18" s="454"/>
      <c r="D18" s="105">
        <v>18.7</v>
      </c>
      <c r="E18" s="65">
        <v>18.5</v>
      </c>
      <c r="F18" s="65">
        <v>18.600000000000001</v>
      </c>
      <c r="G18" s="65">
        <v>18.8</v>
      </c>
      <c r="H18" s="66">
        <v>19</v>
      </c>
    </row>
    <row r="19" spans="1:9" ht="16.5" thickBot="1">
      <c r="A19" s="71" t="s">
        <v>325</v>
      </c>
      <c r="B19" s="72" t="s">
        <v>326</v>
      </c>
      <c r="C19" s="73" t="s">
        <v>327</v>
      </c>
      <c r="D19" s="383">
        <v>1063.7</v>
      </c>
      <c r="E19" s="384">
        <v>1140.3</v>
      </c>
      <c r="F19" s="384">
        <v>935</v>
      </c>
      <c r="G19" s="384">
        <v>1135</v>
      </c>
      <c r="H19" s="385">
        <v>1135</v>
      </c>
      <c r="I19" s="76"/>
    </row>
    <row r="20" spans="1:9" ht="16.5" thickBot="1">
      <c r="A20" s="71" t="s">
        <v>328</v>
      </c>
      <c r="B20" s="72" t="s">
        <v>329</v>
      </c>
      <c r="C20" s="73" t="s">
        <v>299</v>
      </c>
      <c r="D20" s="73">
        <v>256.5</v>
      </c>
      <c r="E20" s="74">
        <v>215.6</v>
      </c>
      <c r="F20" s="74">
        <v>228.8</v>
      </c>
      <c r="G20" s="74">
        <v>231</v>
      </c>
      <c r="H20" s="75">
        <v>231</v>
      </c>
    </row>
    <row r="21" spans="1:9" ht="16.5" thickBot="1">
      <c r="A21" s="71" t="s">
        <v>330</v>
      </c>
      <c r="B21" s="72" t="s">
        <v>313</v>
      </c>
      <c r="C21" s="73" t="s">
        <v>299</v>
      </c>
      <c r="D21" s="73">
        <v>246.7</v>
      </c>
      <c r="E21" s="74">
        <v>244.2</v>
      </c>
      <c r="F21" s="384">
        <v>254</v>
      </c>
      <c r="G21" s="384">
        <v>254</v>
      </c>
      <c r="H21" s="385">
        <v>254</v>
      </c>
    </row>
    <row r="22" spans="1:9" ht="16.5" thickBot="1">
      <c r="A22" s="71" t="s">
        <v>331</v>
      </c>
      <c r="B22" s="72" t="s">
        <v>312</v>
      </c>
      <c r="C22" s="73" t="s">
        <v>299</v>
      </c>
      <c r="D22" s="73">
        <v>54.5</v>
      </c>
      <c r="E22" s="74">
        <v>50</v>
      </c>
      <c r="F22" s="74">
        <v>50</v>
      </c>
      <c r="G22" s="74">
        <v>50</v>
      </c>
      <c r="H22" s="75">
        <v>50</v>
      </c>
    </row>
    <row r="25" spans="1:9" ht="18.75">
      <c r="A25" s="77"/>
    </row>
    <row r="26" spans="1:9" ht="18.75">
      <c r="A26" s="77"/>
    </row>
    <row r="27" spans="1:9" ht="18.75">
      <c r="A27" s="77"/>
    </row>
    <row r="28" spans="1:9" ht="15.75">
      <c r="A28" s="7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Normal="100" workbookViewId="0">
      <selection activeCell="C2" sqref="C2:E2"/>
    </sheetView>
  </sheetViews>
  <sheetFormatPr defaultRowHeight="15"/>
  <cols>
    <col min="1" max="1" width="38.5703125" style="54" customWidth="1"/>
    <col min="2" max="2" width="14" style="54" customWidth="1"/>
    <col min="3" max="3" width="15" style="54" customWidth="1"/>
    <col min="4" max="4" width="19.28515625" style="54" customWidth="1"/>
    <col min="5" max="5" width="14.140625" style="54" customWidth="1"/>
    <col min="6" max="256" width="9.140625" style="54"/>
    <col min="257" max="257" width="38.5703125" style="54" customWidth="1"/>
    <col min="258" max="258" width="14" style="54" customWidth="1"/>
    <col min="259" max="259" width="15" style="54" customWidth="1"/>
    <col min="260" max="260" width="19.28515625" style="54" customWidth="1"/>
    <col min="261" max="261" width="14.140625" style="54" customWidth="1"/>
    <col min="262" max="512" width="9.140625" style="54"/>
    <col min="513" max="513" width="38.5703125" style="54" customWidth="1"/>
    <col min="514" max="514" width="14" style="54" customWidth="1"/>
    <col min="515" max="515" width="15" style="54" customWidth="1"/>
    <col min="516" max="516" width="19.28515625" style="54" customWidth="1"/>
    <col min="517" max="517" width="14.140625" style="54" customWidth="1"/>
    <col min="518" max="768" width="9.140625" style="54"/>
    <col min="769" max="769" width="38.5703125" style="54" customWidth="1"/>
    <col min="770" max="770" width="14" style="54" customWidth="1"/>
    <col min="771" max="771" width="15" style="54" customWidth="1"/>
    <col min="772" max="772" width="19.28515625" style="54" customWidth="1"/>
    <col min="773" max="773" width="14.140625" style="54" customWidth="1"/>
    <col min="774" max="1024" width="9.140625" style="54"/>
    <col min="1025" max="1025" width="38.5703125" style="54" customWidth="1"/>
    <col min="1026" max="1026" width="14" style="54" customWidth="1"/>
    <col min="1027" max="1027" width="15" style="54" customWidth="1"/>
    <col min="1028" max="1028" width="19.28515625" style="54" customWidth="1"/>
    <col min="1029" max="1029" width="14.140625" style="54" customWidth="1"/>
    <col min="1030" max="1280" width="9.140625" style="54"/>
    <col min="1281" max="1281" width="38.5703125" style="54" customWidth="1"/>
    <col min="1282" max="1282" width="14" style="54" customWidth="1"/>
    <col min="1283" max="1283" width="15" style="54" customWidth="1"/>
    <col min="1284" max="1284" width="19.28515625" style="54" customWidth="1"/>
    <col min="1285" max="1285" width="14.140625" style="54" customWidth="1"/>
    <col min="1286" max="1536" width="9.140625" style="54"/>
    <col min="1537" max="1537" width="38.5703125" style="54" customWidth="1"/>
    <col min="1538" max="1538" width="14" style="54" customWidth="1"/>
    <col min="1539" max="1539" width="15" style="54" customWidth="1"/>
    <col min="1540" max="1540" width="19.28515625" style="54" customWidth="1"/>
    <col min="1541" max="1541" width="14.140625" style="54" customWidth="1"/>
    <col min="1542" max="1792" width="9.140625" style="54"/>
    <col min="1793" max="1793" width="38.5703125" style="54" customWidth="1"/>
    <col min="1794" max="1794" width="14" style="54" customWidth="1"/>
    <col min="1795" max="1795" width="15" style="54" customWidth="1"/>
    <col min="1796" max="1796" width="19.28515625" style="54" customWidth="1"/>
    <col min="1797" max="1797" width="14.140625" style="54" customWidth="1"/>
    <col min="1798" max="2048" width="9.140625" style="54"/>
    <col min="2049" max="2049" width="38.5703125" style="54" customWidth="1"/>
    <col min="2050" max="2050" width="14" style="54" customWidth="1"/>
    <col min="2051" max="2051" width="15" style="54" customWidth="1"/>
    <col min="2052" max="2052" width="19.28515625" style="54" customWidth="1"/>
    <col min="2053" max="2053" width="14.140625" style="54" customWidth="1"/>
    <col min="2054" max="2304" width="9.140625" style="54"/>
    <col min="2305" max="2305" width="38.5703125" style="54" customWidth="1"/>
    <col min="2306" max="2306" width="14" style="54" customWidth="1"/>
    <col min="2307" max="2307" width="15" style="54" customWidth="1"/>
    <col min="2308" max="2308" width="19.28515625" style="54" customWidth="1"/>
    <col min="2309" max="2309" width="14.140625" style="54" customWidth="1"/>
    <col min="2310" max="2560" width="9.140625" style="54"/>
    <col min="2561" max="2561" width="38.5703125" style="54" customWidth="1"/>
    <col min="2562" max="2562" width="14" style="54" customWidth="1"/>
    <col min="2563" max="2563" width="15" style="54" customWidth="1"/>
    <col min="2564" max="2564" width="19.28515625" style="54" customWidth="1"/>
    <col min="2565" max="2565" width="14.140625" style="54" customWidth="1"/>
    <col min="2566" max="2816" width="9.140625" style="54"/>
    <col min="2817" max="2817" width="38.5703125" style="54" customWidth="1"/>
    <col min="2818" max="2818" width="14" style="54" customWidth="1"/>
    <col min="2819" max="2819" width="15" style="54" customWidth="1"/>
    <col min="2820" max="2820" width="19.28515625" style="54" customWidth="1"/>
    <col min="2821" max="2821" width="14.140625" style="54" customWidth="1"/>
    <col min="2822" max="3072" width="9.140625" style="54"/>
    <col min="3073" max="3073" width="38.5703125" style="54" customWidth="1"/>
    <col min="3074" max="3074" width="14" style="54" customWidth="1"/>
    <col min="3075" max="3075" width="15" style="54" customWidth="1"/>
    <col min="3076" max="3076" width="19.28515625" style="54" customWidth="1"/>
    <col min="3077" max="3077" width="14.140625" style="54" customWidth="1"/>
    <col min="3078" max="3328" width="9.140625" style="54"/>
    <col min="3329" max="3329" width="38.5703125" style="54" customWidth="1"/>
    <col min="3330" max="3330" width="14" style="54" customWidth="1"/>
    <col min="3331" max="3331" width="15" style="54" customWidth="1"/>
    <col min="3332" max="3332" width="19.28515625" style="54" customWidth="1"/>
    <col min="3333" max="3333" width="14.140625" style="54" customWidth="1"/>
    <col min="3334" max="3584" width="9.140625" style="54"/>
    <col min="3585" max="3585" width="38.5703125" style="54" customWidth="1"/>
    <col min="3586" max="3586" width="14" style="54" customWidth="1"/>
    <col min="3587" max="3587" width="15" style="54" customWidth="1"/>
    <col min="3588" max="3588" width="19.28515625" style="54" customWidth="1"/>
    <col min="3589" max="3589" width="14.140625" style="54" customWidth="1"/>
    <col min="3590" max="3840" width="9.140625" style="54"/>
    <col min="3841" max="3841" width="38.5703125" style="54" customWidth="1"/>
    <col min="3842" max="3842" width="14" style="54" customWidth="1"/>
    <col min="3843" max="3843" width="15" style="54" customWidth="1"/>
    <col min="3844" max="3844" width="19.28515625" style="54" customWidth="1"/>
    <col min="3845" max="3845" width="14.140625" style="54" customWidth="1"/>
    <col min="3846" max="4096" width="9.140625" style="54"/>
    <col min="4097" max="4097" width="38.5703125" style="54" customWidth="1"/>
    <col min="4098" max="4098" width="14" style="54" customWidth="1"/>
    <col min="4099" max="4099" width="15" style="54" customWidth="1"/>
    <col min="4100" max="4100" width="19.28515625" style="54" customWidth="1"/>
    <col min="4101" max="4101" width="14.140625" style="54" customWidth="1"/>
    <col min="4102" max="4352" width="9.140625" style="54"/>
    <col min="4353" max="4353" width="38.5703125" style="54" customWidth="1"/>
    <col min="4354" max="4354" width="14" style="54" customWidth="1"/>
    <col min="4355" max="4355" width="15" style="54" customWidth="1"/>
    <col min="4356" max="4356" width="19.28515625" style="54" customWidth="1"/>
    <col min="4357" max="4357" width="14.140625" style="54" customWidth="1"/>
    <col min="4358" max="4608" width="9.140625" style="54"/>
    <col min="4609" max="4609" width="38.5703125" style="54" customWidth="1"/>
    <col min="4610" max="4610" width="14" style="54" customWidth="1"/>
    <col min="4611" max="4611" width="15" style="54" customWidth="1"/>
    <col min="4612" max="4612" width="19.28515625" style="54" customWidth="1"/>
    <col min="4613" max="4613" width="14.140625" style="54" customWidth="1"/>
    <col min="4614" max="4864" width="9.140625" style="54"/>
    <col min="4865" max="4865" width="38.5703125" style="54" customWidth="1"/>
    <col min="4866" max="4866" width="14" style="54" customWidth="1"/>
    <col min="4867" max="4867" width="15" style="54" customWidth="1"/>
    <col min="4868" max="4868" width="19.28515625" style="54" customWidth="1"/>
    <col min="4869" max="4869" width="14.140625" style="54" customWidth="1"/>
    <col min="4870" max="5120" width="9.140625" style="54"/>
    <col min="5121" max="5121" width="38.5703125" style="54" customWidth="1"/>
    <col min="5122" max="5122" width="14" style="54" customWidth="1"/>
    <col min="5123" max="5123" width="15" style="54" customWidth="1"/>
    <col min="5124" max="5124" width="19.28515625" style="54" customWidth="1"/>
    <col min="5125" max="5125" width="14.140625" style="54" customWidth="1"/>
    <col min="5126" max="5376" width="9.140625" style="54"/>
    <col min="5377" max="5377" width="38.5703125" style="54" customWidth="1"/>
    <col min="5378" max="5378" width="14" style="54" customWidth="1"/>
    <col min="5379" max="5379" width="15" style="54" customWidth="1"/>
    <col min="5380" max="5380" width="19.28515625" style="54" customWidth="1"/>
    <col min="5381" max="5381" width="14.140625" style="54" customWidth="1"/>
    <col min="5382" max="5632" width="9.140625" style="54"/>
    <col min="5633" max="5633" width="38.5703125" style="54" customWidth="1"/>
    <col min="5634" max="5634" width="14" style="54" customWidth="1"/>
    <col min="5635" max="5635" width="15" style="54" customWidth="1"/>
    <col min="5636" max="5636" width="19.28515625" style="54" customWidth="1"/>
    <col min="5637" max="5637" width="14.140625" style="54" customWidth="1"/>
    <col min="5638" max="5888" width="9.140625" style="54"/>
    <col min="5889" max="5889" width="38.5703125" style="54" customWidth="1"/>
    <col min="5890" max="5890" width="14" style="54" customWidth="1"/>
    <col min="5891" max="5891" width="15" style="54" customWidth="1"/>
    <col min="5892" max="5892" width="19.28515625" style="54" customWidth="1"/>
    <col min="5893" max="5893" width="14.140625" style="54" customWidth="1"/>
    <col min="5894" max="6144" width="9.140625" style="54"/>
    <col min="6145" max="6145" width="38.5703125" style="54" customWidth="1"/>
    <col min="6146" max="6146" width="14" style="54" customWidth="1"/>
    <col min="6147" max="6147" width="15" style="54" customWidth="1"/>
    <col min="6148" max="6148" width="19.28515625" style="54" customWidth="1"/>
    <col min="6149" max="6149" width="14.140625" style="54" customWidth="1"/>
    <col min="6150" max="6400" width="9.140625" style="54"/>
    <col min="6401" max="6401" width="38.5703125" style="54" customWidth="1"/>
    <col min="6402" max="6402" width="14" style="54" customWidth="1"/>
    <col min="6403" max="6403" width="15" style="54" customWidth="1"/>
    <col min="6404" max="6404" width="19.28515625" style="54" customWidth="1"/>
    <col min="6405" max="6405" width="14.140625" style="54" customWidth="1"/>
    <col min="6406" max="6656" width="9.140625" style="54"/>
    <col min="6657" max="6657" width="38.5703125" style="54" customWidth="1"/>
    <col min="6658" max="6658" width="14" style="54" customWidth="1"/>
    <col min="6659" max="6659" width="15" style="54" customWidth="1"/>
    <col min="6660" max="6660" width="19.28515625" style="54" customWidth="1"/>
    <col min="6661" max="6661" width="14.140625" style="54" customWidth="1"/>
    <col min="6662" max="6912" width="9.140625" style="54"/>
    <col min="6913" max="6913" width="38.5703125" style="54" customWidth="1"/>
    <col min="6914" max="6914" width="14" style="54" customWidth="1"/>
    <col min="6915" max="6915" width="15" style="54" customWidth="1"/>
    <col min="6916" max="6916" width="19.28515625" style="54" customWidth="1"/>
    <col min="6917" max="6917" width="14.140625" style="54" customWidth="1"/>
    <col min="6918" max="7168" width="9.140625" style="54"/>
    <col min="7169" max="7169" width="38.5703125" style="54" customWidth="1"/>
    <col min="7170" max="7170" width="14" style="54" customWidth="1"/>
    <col min="7171" max="7171" width="15" style="54" customWidth="1"/>
    <col min="7172" max="7172" width="19.28515625" style="54" customWidth="1"/>
    <col min="7173" max="7173" width="14.140625" style="54" customWidth="1"/>
    <col min="7174" max="7424" width="9.140625" style="54"/>
    <col min="7425" max="7425" width="38.5703125" style="54" customWidth="1"/>
    <col min="7426" max="7426" width="14" style="54" customWidth="1"/>
    <col min="7427" max="7427" width="15" style="54" customWidth="1"/>
    <col min="7428" max="7428" width="19.28515625" style="54" customWidth="1"/>
    <col min="7429" max="7429" width="14.140625" style="54" customWidth="1"/>
    <col min="7430" max="7680" width="9.140625" style="54"/>
    <col min="7681" max="7681" width="38.5703125" style="54" customWidth="1"/>
    <col min="7682" max="7682" width="14" style="54" customWidth="1"/>
    <col min="7683" max="7683" width="15" style="54" customWidth="1"/>
    <col min="7684" max="7684" width="19.28515625" style="54" customWidth="1"/>
    <col min="7685" max="7685" width="14.140625" style="54" customWidth="1"/>
    <col min="7686" max="7936" width="9.140625" style="54"/>
    <col min="7937" max="7937" width="38.5703125" style="54" customWidth="1"/>
    <col min="7938" max="7938" width="14" style="54" customWidth="1"/>
    <col min="7939" max="7939" width="15" style="54" customWidth="1"/>
    <col min="7940" max="7940" width="19.28515625" style="54" customWidth="1"/>
    <col min="7941" max="7941" width="14.140625" style="54" customWidth="1"/>
    <col min="7942" max="8192" width="9.140625" style="54"/>
    <col min="8193" max="8193" width="38.5703125" style="54" customWidth="1"/>
    <col min="8194" max="8194" width="14" style="54" customWidth="1"/>
    <col min="8195" max="8195" width="15" style="54" customWidth="1"/>
    <col min="8196" max="8196" width="19.28515625" style="54" customWidth="1"/>
    <col min="8197" max="8197" width="14.140625" style="54" customWidth="1"/>
    <col min="8198" max="8448" width="9.140625" style="54"/>
    <col min="8449" max="8449" width="38.5703125" style="54" customWidth="1"/>
    <col min="8450" max="8450" width="14" style="54" customWidth="1"/>
    <col min="8451" max="8451" width="15" style="54" customWidth="1"/>
    <col min="8452" max="8452" width="19.28515625" style="54" customWidth="1"/>
    <col min="8453" max="8453" width="14.140625" style="54" customWidth="1"/>
    <col min="8454" max="8704" width="9.140625" style="54"/>
    <col min="8705" max="8705" width="38.5703125" style="54" customWidth="1"/>
    <col min="8706" max="8706" width="14" style="54" customWidth="1"/>
    <col min="8707" max="8707" width="15" style="54" customWidth="1"/>
    <col min="8708" max="8708" width="19.28515625" style="54" customWidth="1"/>
    <col min="8709" max="8709" width="14.140625" style="54" customWidth="1"/>
    <col min="8710" max="8960" width="9.140625" style="54"/>
    <col min="8961" max="8961" width="38.5703125" style="54" customWidth="1"/>
    <col min="8962" max="8962" width="14" style="54" customWidth="1"/>
    <col min="8963" max="8963" width="15" style="54" customWidth="1"/>
    <col min="8964" max="8964" width="19.28515625" style="54" customWidth="1"/>
    <col min="8965" max="8965" width="14.140625" style="54" customWidth="1"/>
    <col min="8966" max="9216" width="9.140625" style="54"/>
    <col min="9217" max="9217" width="38.5703125" style="54" customWidth="1"/>
    <col min="9218" max="9218" width="14" style="54" customWidth="1"/>
    <col min="9219" max="9219" width="15" style="54" customWidth="1"/>
    <col min="9220" max="9220" width="19.28515625" style="54" customWidth="1"/>
    <col min="9221" max="9221" width="14.140625" style="54" customWidth="1"/>
    <col min="9222" max="9472" width="9.140625" style="54"/>
    <col min="9473" max="9473" width="38.5703125" style="54" customWidth="1"/>
    <col min="9474" max="9474" width="14" style="54" customWidth="1"/>
    <col min="9475" max="9475" width="15" style="54" customWidth="1"/>
    <col min="9476" max="9476" width="19.28515625" style="54" customWidth="1"/>
    <col min="9477" max="9477" width="14.140625" style="54" customWidth="1"/>
    <col min="9478" max="9728" width="9.140625" style="54"/>
    <col min="9729" max="9729" width="38.5703125" style="54" customWidth="1"/>
    <col min="9730" max="9730" width="14" style="54" customWidth="1"/>
    <col min="9731" max="9731" width="15" style="54" customWidth="1"/>
    <col min="9732" max="9732" width="19.28515625" style="54" customWidth="1"/>
    <col min="9733" max="9733" width="14.140625" style="54" customWidth="1"/>
    <col min="9734" max="9984" width="9.140625" style="54"/>
    <col min="9985" max="9985" width="38.5703125" style="54" customWidth="1"/>
    <col min="9986" max="9986" width="14" style="54" customWidth="1"/>
    <col min="9987" max="9987" width="15" style="54" customWidth="1"/>
    <col min="9988" max="9988" width="19.28515625" style="54" customWidth="1"/>
    <col min="9989" max="9989" width="14.140625" style="54" customWidth="1"/>
    <col min="9990" max="10240" width="9.140625" style="54"/>
    <col min="10241" max="10241" width="38.5703125" style="54" customWidth="1"/>
    <col min="10242" max="10242" width="14" style="54" customWidth="1"/>
    <col min="10243" max="10243" width="15" style="54" customWidth="1"/>
    <col min="10244" max="10244" width="19.28515625" style="54" customWidth="1"/>
    <col min="10245" max="10245" width="14.140625" style="54" customWidth="1"/>
    <col min="10246" max="10496" width="9.140625" style="54"/>
    <col min="10497" max="10497" width="38.5703125" style="54" customWidth="1"/>
    <col min="10498" max="10498" width="14" style="54" customWidth="1"/>
    <col min="10499" max="10499" width="15" style="54" customWidth="1"/>
    <col min="10500" max="10500" width="19.28515625" style="54" customWidth="1"/>
    <col min="10501" max="10501" width="14.140625" style="54" customWidth="1"/>
    <col min="10502" max="10752" width="9.140625" style="54"/>
    <col min="10753" max="10753" width="38.5703125" style="54" customWidth="1"/>
    <col min="10754" max="10754" width="14" style="54" customWidth="1"/>
    <col min="10755" max="10755" width="15" style="54" customWidth="1"/>
    <col min="10756" max="10756" width="19.28515625" style="54" customWidth="1"/>
    <col min="10757" max="10757" width="14.140625" style="54" customWidth="1"/>
    <col min="10758" max="11008" width="9.140625" style="54"/>
    <col min="11009" max="11009" width="38.5703125" style="54" customWidth="1"/>
    <col min="11010" max="11010" width="14" style="54" customWidth="1"/>
    <col min="11011" max="11011" width="15" style="54" customWidth="1"/>
    <col min="11012" max="11012" width="19.28515625" style="54" customWidth="1"/>
    <col min="11013" max="11013" width="14.140625" style="54" customWidth="1"/>
    <col min="11014" max="11264" width="9.140625" style="54"/>
    <col min="11265" max="11265" width="38.5703125" style="54" customWidth="1"/>
    <col min="11266" max="11266" width="14" style="54" customWidth="1"/>
    <col min="11267" max="11267" width="15" style="54" customWidth="1"/>
    <col min="11268" max="11268" width="19.28515625" style="54" customWidth="1"/>
    <col min="11269" max="11269" width="14.140625" style="54" customWidth="1"/>
    <col min="11270" max="11520" width="9.140625" style="54"/>
    <col min="11521" max="11521" width="38.5703125" style="54" customWidth="1"/>
    <col min="11522" max="11522" width="14" style="54" customWidth="1"/>
    <col min="11523" max="11523" width="15" style="54" customWidth="1"/>
    <col min="11524" max="11524" width="19.28515625" style="54" customWidth="1"/>
    <col min="11525" max="11525" width="14.140625" style="54" customWidth="1"/>
    <col min="11526" max="11776" width="9.140625" style="54"/>
    <col min="11777" max="11777" width="38.5703125" style="54" customWidth="1"/>
    <col min="11778" max="11778" width="14" style="54" customWidth="1"/>
    <col min="11779" max="11779" width="15" style="54" customWidth="1"/>
    <col min="11780" max="11780" width="19.28515625" style="54" customWidth="1"/>
    <col min="11781" max="11781" width="14.140625" style="54" customWidth="1"/>
    <col min="11782" max="12032" width="9.140625" style="54"/>
    <col min="12033" max="12033" width="38.5703125" style="54" customWidth="1"/>
    <col min="12034" max="12034" width="14" style="54" customWidth="1"/>
    <col min="12035" max="12035" width="15" style="54" customWidth="1"/>
    <col min="12036" max="12036" width="19.28515625" style="54" customWidth="1"/>
    <col min="12037" max="12037" width="14.140625" style="54" customWidth="1"/>
    <col min="12038" max="12288" width="9.140625" style="54"/>
    <col min="12289" max="12289" width="38.5703125" style="54" customWidth="1"/>
    <col min="12290" max="12290" width="14" style="54" customWidth="1"/>
    <col min="12291" max="12291" width="15" style="54" customWidth="1"/>
    <col min="12292" max="12292" width="19.28515625" style="54" customWidth="1"/>
    <col min="12293" max="12293" width="14.140625" style="54" customWidth="1"/>
    <col min="12294" max="12544" width="9.140625" style="54"/>
    <col min="12545" max="12545" width="38.5703125" style="54" customWidth="1"/>
    <col min="12546" max="12546" width="14" style="54" customWidth="1"/>
    <col min="12547" max="12547" width="15" style="54" customWidth="1"/>
    <col min="12548" max="12548" width="19.28515625" style="54" customWidth="1"/>
    <col min="12549" max="12549" width="14.140625" style="54" customWidth="1"/>
    <col min="12550" max="12800" width="9.140625" style="54"/>
    <col min="12801" max="12801" width="38.5703125" style="54" customWidth="1"/>
    <col min="12802" max="12802" width="14" style="54" customWidth="1"/>
    <col min="12803" max="12803" width="15" style="54" customWidth="1"/>
    <col min="12804" max="12804" width="19.28515625" style="54" customWidth="1"/>
    <col min="12805" max="12805" width="14.140625" style="54" customWidth="1"/>
    <col min="12806" max="13056" width="9.140625" style="54"/>
    <col min="13057" max="13057" width="38.5703125" style="54" customWidth="1"/>
    <col min="13058" max="13058" width="14" style="54" customWidth="1"/>
    <col min="13059" max="13059" width="15" style="54" customWidth="1"/>
    <col min="13060" max="13060" width="19.28515625" style="54" customWidth="1"/>
    <col min="13061" max="13061" width="14.140625" style="54" customWidth="1"/>
    <col min="13062" max="13312" width="9.140625" style="54"/>
    <col min="13313" max="13313" width="38.5703125" style="54" customWidth="1"/>
    <col min="13314" max="13314" width="14" style="54" customWidth="1"/>
    <col min="13315" max="13315" width="15" style="54" customWidth="1"/>
    <col min="13316" max="13316" width="19.28515625" style="54" customWidth="1"/>
    <col min="13317" max="13317" width="14.140625" style="54" customWidth="1"/>
    <col min="13318" max="13568" width="9.140625" style="54"/>
    <col min="13569" max="13569" width="38.5703125" style="54" customWidth="1"/>
    <col min="13570" max="13570" width="14" style="54" customWidth="1"/>
    <col min="13571" max="13571" width="15" style="54" customWidth="1"/>
    <col min="13572" max="13572" width="19.28515625" style="54" customWidth="1"/>
    <col min="13573" max="13573" width="14.140625" style="54" customWidth="1"/>
    <col min="13574" max="13824" width="9.140625" style="54"/>
    <col min="13825" max="13825" width="38.5703125" style="54" customWidth="1"/>
    <col min="13826" max="13826" width="14" style="54" customWidth="1"/>
    <col min="13827" max="13827" width="15" style="54" customWidth="1"/>
    <col min="13828" max="13828" width="19.28515625" style="54" customWidth="1"/>
    <col min="13829" max="13829" width="14.140625" style="54" customWidth="1"/>
    <col min="13830" max="14080" width="9.140625" style="54"/>
    <col min="14081" max="14081" width="38.5703125" style="54" customWidth="1"/>
    <col min="14082" max="14082" width="14" style="54" customWidth="1"/>
    <col min="14083" max="14083" width="15" style="54" customWidth="1"/>
    <col min="14084" max="14084" width="19.28515625" style="54" customWidth="1"/>
    <col min="14085" max="14085" width="14.140625" style="54" customWidth="1"/>
    <col min="14086" max="14336" width="9.140625" style="54"/>
    <col min="14337" max="14337" width="38.5703125" style="54" customWidth="1"/>
    <col min="14338" max="14338" width="14" style="54" customWidth="1"/>
    <col min="14339" max="14339" width="15" style="54" customWidth="1"/>
    <col min="14340" max="14340" width="19.28515625" style="54" customWidth="1"/>
    <col min="14341" max="14341" width="14.140625" style="54" customWidth="1"/>
    <col min="14342" max="14592" width="9.140625" style="54"/>
    <col min="14593" max="14593" width="38.5703125" style="54" customWidth="1"/>
    <col min="14594" max="14594" width="14" style="54" customWidth="1"/>
    <col min="14595" max="14595" width="15" style="54" customWidth="1"/>
    <col min="14596" max="14596" width="19.28515625" style="54" customWidth="1"/>
    <col min="14597" max="14597" width="14.140625" style="54" customWidth="1"/>
    <col min="14598" max="14848" width="9.140625" style="54"/>
    <col min="14849" max="14849" width="38.5703125" style="54" customWidth="1"/>
    <col min="14850" max="14850" width="14" style="54" customWidth="1"/>
    <col min="14851" max="14851" width="15" style="54" customWidth="1"/>
    <col min="14852" max="14852" width="19.28515625" style="54" customWidth="1"/>
    <col min="14853" max="14853" width="14.140625" style="54" customWidth="1"/>
    <col min="14854" max="15104" width="9.140625" style="54"/>
    <col min="15105" max="15105" width="38.5703125" style="54" customWidth="1"/>
    <col min="15106" max="15106" width="14" style="54" customWidth="1"/>
    <col min="15107" max="15107" width="15" style="54" customWidth="1"/>
    <col min="15108" max="15108" width="19.28515625" style="54" customWidth="1"/>
    <col min="15109" max="15109" width="14.140625" style="54" customWidth="1"/>
    <col min="15110" max="15360" width="9.140625" style="54"/>
    <col min="15361" max="15361" width="38.5703125" style="54" customWidth="1"/>
    <col min="15362" max="15362" width="14" style="54" customWidth="1"/>
    <col min="15363" max="15363" width="15" style="54" customWidth="1"/>
    <col min="15364" max="15364" width="19.28515625" style="54" customWidth="1"/>
    <col min="15365" max="15365" width="14.140625" style="54" customWidth="1"/>
    <col min="15366" max="15616" width="9.140625" style="54"/>
    <col min="15617" max="15617" width="38.5703125" style="54" customWidth="1"/>
    <col min="15618" max="15618" width="14" style="54" customWidth="1"/>
    <col min="15619" max="15619" width="15" style="54" customWidth="1"/>
    <col min="15620" max="15620" width="19.28515625" style="54" customWidth="1"/>
    <col min="15621" max="15621" width="14.140625" style="54" customWidth="1"/>
    <col min="15622" max="15872" width="9.140625" style="54"/>
    <col min="15873" max="15873" width="38.5703125" style="54" customWidth="1"/>
    <col min="15874" max="15874" width="14" style="54" customWidth="1"/>
    <col min="15875" max="15875" width="15" style="54" customWidth="1"/>
    <col min="15876" max="15876" width="19.28515625" style="54" customWidth="1"/>
    <col min="15877" max="15877" width="14.140625" style="54" customWidth="1"/>
    <col min="15878" max="16128" width="9.140625" style="54"/>
    <col min="16129" max="16129" width="38.5703125" style="54" customWidth="1"/>
    <col min="16130" max="16130" width="14" style="54" customWidth="1"/>
    <col min="16131" max="16131" width="15" style="54" customWidth="1"/>
    <col min="16132" max="16132" width="19.28515625" style="54" customWidth="1"/>
    <col min="16133" max="16133" width="14.140625" style="54" customWidth="1"/>
    <col min="16134" max="16384" width="9.140625" style="54"/>
  </cols>
  <sheetData>
    <row r="1" spans="1:5">
      <c r="D1" s="455" t="s">
        <v>332</v>
      </c>
      <c r="E1" s="455"/>
    </row>
    <row r="2" spans="1:5" ht="29.25" customHeight="1">
      <c r="C2" s="456" t="s">
        <v>505</v>
      </c>
      <c r="D2" s="456"/>
      <c r="E2" s="456"/>
    </row>
    <row r="4" spans="1:5" ht="47.25" customHeight="1">
      <c r="A4" s="465" t="s">
        <v>512</v>
      </c>
      <c r="B4" s="465"/>
      <c r="C4" s="465"/>
      <c r="D4" s="465"/>
      <c r="E4" s="465"/>
    </row>
    <row r="7" spans="1:5" ht="56.25">
      <c r="A7" s="79" t="s">
        <v>333</v>
      </c>
      <c r="B7" s="79" t="s">
        <v>315</v>
      </c>
      <c r="C7" s="79" t="s">
        <v>513</v>
      </c>
      <c r="D7" s="79" t="s">
        <v>514</v>
      </c>
      <c r="E7" s="79" t="s">
        <v>423</v>
      </c>
    </row>
    <row r="8" spans="1:5" ht="87" customHeight="1">
      <c r="A8" s="80" t="s">
        <v>334</v>
      </c>
      <c r="B8" s="81" t="s">
        <v>335</v>
      </c>
      <c r="C8" s="82">
        <v>36.5</v>
      </c>
      <c r="D8" s="82">
        <v>0</v>
      </c>
      <c r="E8" s="82">
        <v>0</v>
      </c>
    </row>
    <row r="9" spans="1:5" ht="21.75" customHeight="1">
      <c r="A9" s="80" t="s">
        <v>336</v>
      </c>
      <c r="B9" s="81" t="s">
        <v>335</v>
      </c>
      <c r="C9" s="82">
        <v>136</v>
      </c>
      <c r="D9" s="82">
        <v>112.6</v>
      </c>
      <c r="E9" s="82">
        <v>117.1</v>
      </c>
    </row>
    <row r="10" spans="1:5" ht="18.75">
      <c r="A10" s="80" t="s">
        <v>337</v>
      </c>
      <c r="B10" s="81" t="s">
        <v>335</v>
      </c>
      <c r="C10" s="82">
        <v>63.4</v>
      </c>
      <c r="D10" s="386">
        <v>125</v>
      </c>
      <c r="E10" s="386">
        <v>130</v>
      </c>
    </row>
    <row r="11" spans="1:5" ht="25.5" customHeight="1">
      <c r="A11" s="80" t="s">
        <v>338</v>
      </c>
      <c r="B11" s="81" t="s">
        <v>335</v>
      </c>
      <c r="C11" s="82">
        <v>9.3000000000000007</v>
      </c>
      <c r="D11" s="82">
        <v>6.6</v>
      </c>
      <c r="E11" s="82">
        <v>6.9</v>
      </c>
    </row>
    <row r="12" spans="1:5" ht="57" customHeight="1">
      <c r="A12" s="80" t="s">
        <v>339</v>
      </c>
      <c r="B12" s="81" t="s">
        <v>335</v>
      </c>
      <c r="C12" s="82">
        <v>1.5</v>
      </c>
      <c r="D12" s="82">
        <v>0</v>
      </c>
      <c r="E12" s="82">
        <v>0</v>
      </c>
    </row>
    <row r="13" spans="1:5" ht="19.5">
      <c r="A13" s="83" t="s">
        <v>309</v>
      </c>
      <c r="B13" s="79" t="s">
        <v>335</v>
      </c>
      <c r="C13" s="84">
        <f>C8+C9+C10+C11+C12</f>
        <v>246.70000000000002</v>
      </c>
      <c r="D13" s="84">
        <f>D8+D9+D10+D11+D12</f>
        <v>244.2</v>
      </c>
      <c r="E13" s="84">
        <f>E8+E9+E10+E11+E12</f>
        <v>254</v>
      </c>
    </row>
  </sheetData>
  <mergeCells count="3">
    <mergeCell ref="D1:E1"/>
    <mergeCell ref="C2:E2"/>
    <mergeCell ref="A4:E4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Normal="100" workbookViewId="0">
      <selection activeCell="N7" sqref="N7"/>
    </sheetView>
  </sheetViews>
  <sheetFormatPr defaultRowHeight="15"/>
  <cols>
    <col min="1" max="1" width="25.85546875" style="54" customWidth="1"/>
    <col min="2" max="2" width="12.7109375" style="54" customWidth="1"/>
    <col min="3" max="3" width="6.85546875" style="54" bestFit="1" customWidth="1"/>
    <col min="4" max="4" width="9.140625" style="54" customWidth="1"/>
    <col min="5" max="5" width="12.7109375" style="54" customWidth="1"/>
    <col min="6" max="6" width="7" style="54" bestFit="1" customWidth="1"/>
    <col min="7" max="7" width="11.28515625" style="54" customWidth="1"/>
    <col min="8" max="8" width="12.7109375" style="54" customWidth="1"/>
    <col min="9" max="9" width="9.42578125" style="54" bestFit="1" customWidth="1"/>
    <col min="10" max="10" width="10.5703125" style="54" customWidth="1"/>
    <col min="11" max="11" width="12.7109375" style="54" customWidth="1"/>
    <col min="12" max="256" width="9.140625" style="54"/>
    <col min="257" max="257" width="25.85546875" style="54" customWidth="1"/>
    <col min="258" max="258" width="12.7109375" style="54" customWidth="1"/>
    <col min="259" max="259" width="6.85546875" style="54" bestFit="1" customWidth="1"/>
    <col min="260" max="260" width="9.140625" style="54" customWidth="1"/>
    <col min="261" max="261" width="12.7109375" style="54" customWidth="1"/>
    <col min="262" max="262" width="7" style="54" bestFit="1" customWidth="1"/>
    <col min="263" max="263" width="11.28515625" style="54" customWidth="1"/>
    <col min="264" max="264" width="12.7109375" style="54" customWidth="1"/>
    <col min="265" max="265" width="9.42578125" style="54" bestFit="1" customWidth="1"/>
    <col min="266" max="266" width="10.5703125" style="54" customWidth="1"/>
    <col min="267" max="267" width="12.7109375" style="54" customWidth="1"/>
    <col min="268" max="512" width="9.140625" style="54"/>
    <col min="513" max="513" width="25.85546875" style="54" customWidth="1"/>
    <col min="514" max="514" width="12.7109375" style="54" customWidth="1"/>
    <col min="515" max="515" width="6.85546875" style="54" bestFit="1" customWidth="1"/>
    <col min="516" max="516" width="9.140625" style="54" customWidth="1"/>
    <col min="517" max="517" width="12.7109375" style="54" customWidth="1"/>
    <col min="518" max="518" width="7" style="54" bestFit="1" customWidth="1"/>
    <col min="519" max="519" width="11.28515625" style="54" customWidth="1"/>
    <col min="520" max="520" width="12.7109375" style="54" customWidth="1"/>
    <col min="521" max="521" width="9.42578125" style="54" bestFit="1" customWidth="1"/>
    <col min="522" max="522" width="10.5703125" style="54" customWidth="1"/>
    <col min="523" max="523" width="12.7109375" style="54" customWidth="1"/>
    <col min="524" max="768" width="9.140625" style="54"/>
    <col min="769" max="769" width="25.85546875" style="54" customWidth="1"/>
    <col min="770" max="770" width="12.7109375" style="54" customWidth="1"/>
    <col min="771" max="771" width="6.85546875" style="54" bestFit="1" customWidth="1"/>
    <col min="772" max="772" width="9.140625" style="54" customWidth="1"/>
    <col min="773" max="773" width="12.7109375" style="54" customWidth="1"/>
    <col min="774" max="774" width="7" style="54" bestFit="1" customWidth="1"/>
    <col min="775" max="775" width="11.28515625" style="54" customWidth="1"/>
    <col min="776" max="776" width="12.7109375" style="54" customWidth="1"/>
    <col min="777" max="777" width="9.42578125" style="54" bestFit="1" customWidth="1"/>
    <col min="778" max="778" width="10.5703125" style="54" customWidth="1"/>
    <col min="779" max="779" width="12.7109375" style="54" customWidth="1"/>
    <col min="780" max="1024" width="9.140625" style="54"/>
    <col min="1025" max="1025" width="25.85546875" style="54" customWidth="1"/>
    <col min="1026" max="1026" width="12.7109375" style="54" customWidth="1"/>
    <col min="1027" max="1027" width="6.85546875" style="54" bestFit="1" customWidth="1"/>
    <col min="1028" max="1028" width="9.140625" style="54" customWidth="1"/>
    <col min="1029" max="1029" width="12.7109375" style="54" customWidth="1"/>
    <col min="1030" max="1030" width="7" style="54" bestFit="1" customWidth="1"/>
    <col min="1031" max="1031" width="11.28515625" style="54" customWidth="1"/>
    <col min="1032" max="1032" width="12.7109375" style="54" customWidth="1"/>
    <col min="1033" max="1033" width="9.42578125" style="54" bestFit="1" customWidth="1"/>
    <col min="1034" max="1034" width="10.5703125" style="54" customWidth="1"/>
    <col min="1035" max="1035" width="12.7109375" style="54" customWidth="1"/>
    <col min="1036" max="1280" width="9.140625" style="54"/>
    <col min="1281" max="1281" width="25.85546875" style="54" customWidth="1"/>
    <col min="1282" max="1282" width="12.7109375" style="54" customWidth="1"/>
    <col min="1283" max="1283" width="6.85546875" style="54" bestFit="1" customWidth="1"/>
    <col min="1284" max="1284" width="9.140625" style="54" customWidth="1"/>
    <col min="1285" max="1285" width="12.7109375" style="54" customWidth="1"/>
    <col min="1286" max="1286" width="7" style="54" bestFit="1" customWidth="1"/>
    <col min="1287" max="1287" width="11.28515625" style="54" customWidth="1"/>
    <col min="1288" max="1288" width="12.7109375" style="54" customWidth="1"/>
    <col min="1289" max="1289" width="9.42578125" style="54" bestFit="1" customWidth="1"/>
    <col min="1290" max="1290" width="10.5703125" style="54" customWidth="1"/>
    <col min="1291" max="1291" width="12.7109375" style="54" customWidth="1"/>
    <col min="1292" max="1536" width="9.140625" style="54"/>
    <col min="1537" max="1537" width="25.85546875" style="54" customWidth="1"/>
    <col min="1538" max="1538" width="12.7109375" style="54" customWidth="1"/>
    <col min="1539" max="1539" width="6.85546875" style="54" bestFit="1" customWidth="1"/>
    <col min="1540" max="1540" width="9.140625" style="54" customWidth="1"/>
    <col min="1541" max="1541" width="12.7109375" style="54" customWidth="1"/>
    <col min="1542" max="1542" width="7" style="54" bestFit="1" customWidth="1"/>
    <col min="1543" max="1543" width="11.28515625" style="54" customWidth="1"/>
    <col min="1544" max="1544" width="12.7109375" style="54" customWidth="1"/>
    <col min="1545" max="1545" width="9.42578125" style="54" bestFit="1" customWidth="1"/>
    <col min="1546" max="1546" width="10.5703125" style="54" customWidth="1"/>
    <col min="1547" max="1547" width="12.7109375" style="54" customWidth="1"/>
    <col min="1548" max="1792" width="9.140625" style="54"/>
    <col min="1793" max="1793" width="25.85546875" style="54" customWidth="1"/>
    <col min="1794" max="1794" width="12.7109375" style="54" customWidth="1"/>
    <col min="1795" max="1795" width="6.85546875" style="54" bestFit="1" customWidth="1"/>
    <col min="1796" max="1796" width="9.140625" style="54" customWidth="1"/>
    <col min="1797" max="1797" width="12.7109375" style="54" customWidth="1"/>
    <col min="1798" max="1798" width="7" style="54" bestFit="1" customWidth="1"/>
    <col min="1799" max="1799" width="11.28515625" style="54" customWidth="1"/>
    <col min="1800" max="1800" width="12.7109375" style="54" customWidth="1"/>
    <col min="1801" max="1801" width="9.42578125" style="54" bestFit="1" customWidth="1"/>
    <col min="1802" max="1802" width="10.5703125" style="54" customWidth="1"/>
    <col min="1803" max="1803" width="12.7109375" style="54" customWidth="1"/>
    <col min="1804" max="2048" width="9.140625" style="54"/>
    <col min="2049" max="2049" width="25.85546875" style="54" customWidth="1"/>
    <col min="2050" max="2050" width="12.7109375" style="54" customWidth="1"/>
    <col min="2051" max="2051" width="6.85546875" style="54" bestFit="1" customWidth="1"/>
    <col min="2052" max="2052" width="9.140625" style="54" customWidth="1"/>
    <col min="2053" max="2053" width="12.7109375" style="54" customWidth="1"/>
    <col min="2054" max="2054" width="7" style="54" bestFit="1" customWidth="1"/>
    <col min="2055" max="2055" width="11.28515625" style="54" customWidth="1"/>
    <col min="2056" max="2056" width="12.7109375" style="54" customWidth="1"/>
    <col min="2057" max="2057" width="9.42578125" style="54" bestFit="1" customWidth="1"/>
    <col min="2058" max="2058" width="10.5703125" style="54" customWidth="1"/>
    <col min="2059" max="2059" width="12.7109375" style="54" customWidth="1"/>
    <col min="2060" max="2304" width="9.140625" style="54"/>
    <col min="2305" max="2305" width="25.85546875" style="54" customWidth="1"/>
    <col min="2306" max="2306" width="12.7109375" style="54" customWidth="1"/>
    <col min="2307" max="2307" width="6.85546875" style="54" bestFit="1" customWidth="1"/>
    <col min="2308" max="2308" width="9.140625" style="54" customWidth="1"/>
    <col min="2309" max="2309" width="12.7109375" style="54" customWidth="1"/>
    <col min="2310" max="2310" width="7" style="54" bestFit="1" customWidth="1"/>
    <col min="2311" max="2311" width="11.28515625" style="54" customWidth="1"/>
    <col min="2312" max="2312" width="12.7109375" style="54" customWidth="1"/>
    <col min="2313" max="2313" width="9.42578125" style="54" bestFit="1" customWidth="1"/>
    <col min="2314" max="2314" width="10.5703125" style="54" customWidth="1"/>
    <col min="2315" max="2315" width="12.7109375" style="54" customWidth="1"/>
    <col min="2316" max="2560" width="9.140625" style="54"/>
    <col min="2561" max="2561" width="25.85546875" style="54" customWidth="1"/>
    <col min="2562" max="2562" width="12.7109375" style="54" customWidth="1"/>
    <col min="2563" max="2563" width="6.85546875" style="54" bestFit="1" customWidth="1"/>
    <col min="2564" max="2564" width="9.140625" style="54" customWidth="1"/>
    <col min="2565" max="2565" width="12.7109375" style="54" customWidth="1"/>
    <col min="2566" max="2566" width="7" style="54" bestFit="1" customWidth="1"/>
    <col min="2567" max="2567" width="11.28515625" style="54" customWidth="1"/>
    <col min="2568" max="2568" width="12.7109375" style="54" customWidth="1"/>
    <col min="2569" max="2569" width="9.42578125" style="54" bestFit="1" customWidth="1"/>
    <col min="2570" max="2570" width="10.5703125" style="54" customWidth="1"/>
    <col min="2571" max="2571" width="12.7109375" style="54" customWidth="1"/>
    <col min="2572" max="2816" width="9.140625" style="54"/>
    <col min="2817" max="2817" width="25.85546875" style="54" customWidth="1"/>
    <col min="2818" max="2818" width="12.7109375" style="54" customWidth="1"/>
    <col min="2819" max="2819" width="6.85546875" style="54" bestFit="1" customWidth="1"/>
    <col min="2820" max="2820" width="9.140625" style="54" customWidth="1"/>
    <col min="2821" max="2821" width="12.7109375" style="54" customWidth="1"/>
    <col min="2822" max="2822" width="7" style="54" bestFit="1" customWidth="1"/>
    <col min="2823" max="2823" width="11.28515625" style="54" customWidth="1"/>
    <col min="2824" max="2824" width="12.7109375" style="54" customWidth="1"/>
    <col min="2825" max="2825" width="9.42578125" style="54" bestFit="1" customWidth="1"/>
    <col min="2826" max="2826" width="10.5703125" style="54" customWidth="1"/>
    <col min="2827" max="2827" width="12.7109375" style="54" customWidth="1"/>
    <col min="2828" max="3072" width="9.140625" style="54"/>
    <col min="3073" max="3073" width="25.85546875" style="54" customWidth="1"/>
    <col min="3074" max="3074" width="12.7109375" style="54" customWidth="1"/>
    <col min="3075" max="3075" width="6.85546875" style="54" bestFit="1" customWidth="1"/>
    <col min="3076" max="3076" width="9.140625" style="54" customWidth="1"/>
    <col min="3077" max="3077" width="12.7109375" style="54" customWidth="1"/>
    <col min="3078" max="3078" width="7" style="54" bestFit="1" customWidth="1"/>
    <col min="3079" max="3079" width="11.28515625" style="54" customWidth="1"/>
    <col min="3080" max="3080" width="12.7109375" style="54" customWidth="1"/>
    <col min="3081" max="3081" width="9.42578125" style="54" bestFit="1" customWidth="1"/>
    <col min="3082" max="3082" width="10.5703125" style="54" customWidth="1"/>
    <col min="3083" max="3083" width="12.7109375" style="54" customWidth="1"/>
    <col min="3084" max="3328" width="9.140625" style="54"/>
    <col min="3329" max="3329" width="25.85546875" style="54" customWidth="1"/>
    <col min="3330" max="3330" width="12.7109375" style="54" customWidth="1"/>
    <col min="3331" max="3331" width="6.85546875" style="54" bestFit="1" customWidth="1"/>
    <col min="3332" max="3332" width="9.140625" style="54" customWidth="1"/>
    <col min="3333" max="3333" width="12.7109375" style="54" customWidth="1"/>
    <col min="3334" max="3334" width="7" style="54" bestFit="1" customWidth="1"/>
    <col min="3335" max="3335" width="11.28515625" style="54" customWidth="1"/>
    <col min="3336" max="3336" width="12.7109375" style="54" customWidth="1"/>
    <col min="3337" max="3337" width="9.42578125" style="54" bestFit="1" customWidth="1"/>
    <col min="3338" max="3338" width="10.5703125" style="54" customWidth="1"/>
    <col min="3339" max="3339" width="12.7109375" style="54" customWidth="1"/>
    <col min="3340" max="3584" width="9.140625" style="54"/>
    <col min="3585" max="3585" width="25.85546875" style="54" customWidth="1"/>
    <col min="3586" max="3586" width="12.7109375" style="54" customWidth="1"/>
    <col min="3587" max="3587" width="6.85546875" style="54" bestFit="1" customWidth="1"/>
    <col min="3588" max="3588" width="9.140625" style="54" customWidth="1"/>
    <col min="3589" max="3589" width="12.7109375" style="54" customWidth="1"/>
    <col min="3590" max="3590" width="7" style="54" bestFit="1" customWidth="1"/>
    <col min="3591" max="3591" width="11.28515625" style="54" customWidth="1"/>
    <col min="3592" max="3592" width="12.7109375" style="54" customWidth="1"/>
    <col min="3593" max="3593" width="9.42578125" style="54" bestFit="1" customWidth="1"/>
    <col min="3594" max="3594" width="10.5703125" style="54" customWidth="1"/>
    <col min="3595" max="3595" width="12.7109375" style="54" customWidth="1"/>
    <col min="3596" max="3840" width="9.140625" style="54"/>
    <col min="3841" max="3841" width="25.85546875" style="54" customWidth="1"/>
    <col min="3842" max="3842" width="12.7109375" style="54" customWidth="1"/>
    <col min="3843" max="3843" width="6.85546875" style="54" bestFit="1" customWidth="1"/>
    <col min="3844" max="3844" width="9.140625" style="54" customWidth="1"/>
    <col min="3845" max="3845" width="12.7109375" style="54" customWidth="1"/>
    <col min="3846" max="3846" width="7" style="54" bestFit="1" customWidth="1"/>
    <col min="3847" max="3847" width="11.28515625" style="54" customWidth="1"/>
    <col min="3848" max="3848" width="12.7109375" style="54" customWidth="1"/>
    <col min="3849" max="3849" width="9.42578125" style="54" bestFit="1" customWidth="1"/>
    <col min="3850" max="3850" width="10.5703125" style="54" customWidth="1"/>
    <col min="3851" max="3851" width="12.7109375" style="54" customWidth="1"/>
    <col min="3852" max="4096" width="9.140625" style="54"/>
    <col min="4097" max="4097" width="25.85546875" style="54" customWidth="1"/>
    <col min="4098" max="4098" width="12.7109375" style="54" customWidth="1"/>
    <col min="4099" max="4099" width="6.85546875" style="54" bestFit="1" customWidth="1"/>
    <col min="4100" max="4100" width="9.140625" style="54" customWidth="1"/>
    <col min="4101" max="4101" width="12.7109375" style="54" customWidth="1"/>
    <col min="4102" max="4102" width="7" style="54" bestFit="1" customWidth="1"/>
    <col min="4103" max="4103" width="11.28515625" style="54" customWidth="1"/>
    <col min="4104" max="4104" width="12.7109375" style="54" customWidth="1"/>
    <col min="4105" max="4105" width="9.42578125" style="54" bestFit="1" customWidth="1"/>
    <col min="4106" max="4106" width="10.5703125" style="54" customWidth="1"/>
    <col min="4107" max="4107" width="12.7109375" style="54" customWidth="1"/>
    <col min="4108" max="4352" width="9.140625" style="54"/>
    <col min="4353" max="4353" width="25.85546875" style="54" customWidth="1"/>
    <col min="4354" max="4354" width="12.7109375" style="54" customWidth="1"/>
    <col min="4355" max="4355" width="6.85546875" style="54" bestFit="1" customWidth="1"/>
    <col min="4356" max="4356" width="9.140625" style="54" customWidth="1"/>
    <col min="4357" max="4357" width="12.7109375" style="54" customWidth="1"/>
    <col min="4358" max="4358" width="7" style="54" bestFit="1" customWidth="1"/>
    <col min="4359" max="4359" width="11.28515625" style="54" customWidth="1"/>
    <col min="4360" max="4360" width="12.7109375" style="54" customWidth="1"/>
    <col min="4361" max="4361" width="9.42578125" style="54" bestFit="1" customWidth="1"/>
    <col min="4362" max="4362" width="10.5703125" style="54" customWidth="1"/>
    <col min="4363" max="4363" width="12.7109375" style="54" customWidth="1"/>
    <col min="4364" max="4608" width="9.140625" style="54"/>
    <col min="4609" max="4609" width="25.85546875" style="54" customWidth="1"/>
    <col min="4610" max="4610" width="12.7109375" style="54" customWidth="1"/>
    <col min="4611" max="4611" width="6.85546875" style="54" bestFit="1" customWidth="1"/>
    <col min="4612" max="4612" width="9.140625" style="54" customWidth="1"/>
    <col min="4613" max="4613" width="12.7109375" style="54" customWidth="1"/>
    <col min="4614" max="4614" width="7" style="54" bestFit="1" customWidth="1"/>
    <col min="4615" max="4615" width="11.28515625" style="54" customWidth="1"/>
    <col min="4616" max="4616" width="12.7109375" style="54" customWidth="1"/>
    <col min="4617" max="4617" width="9.42578125" style="54" bestFit="1" customWidth="1"/>
    <col min="4618" max="4618" width="10.5703125" style="54" customWidth="1"/>
    <col min="4619" max="4619" width="12.7109375" style="54" customWidth="1"/>
    <col min="4620" max="4864" width="9.140625" style="54"/>
    <col min="4865" max="4865" width="25.85546875" style="54" customWidth="1"/>
    <col min="4866" max="4866" width="12.7109375" style="54" customWidth="1"/>
    <col min="4867" max="4867" width="6.85546875" style="54" bestFit="1" customWidth="1"/>
    <col min="4868" max="4868" width="9.140625" style="54" customWidth="1"/>
    <col min="4869" max="4869" width="12.7109375" style="54" customWidth="1"/>
    <col min="4870" max="4870" width="7" style="54" bestFit="1" customWidth="1"/>
    <col min="4871" max="4871" width="11.28515625" style="54" customWidth="1"/>
    <col min="4872" max="4872" width="12.7109375" style="54" customWidth="1"/>
    <col min="4873" max="4873" width="9.42578125" style="54" bestFit="1" customWidth="1"/>
    <col min="4874" max="4874" width="10.5703125" style="54" customWidth="1"/>
    <col min="4875" max="4875" width="12.7109375" style="54" customWidth="1"/>
    <col min="4876" max="5120" width="9.140625" style="54"/>
    <col min="5121" max="5121" width="25.85546875" style="54" customWidth="1"/>
    <col min="5122" max="5122" width="12.7109375" style="54" customWidth="1"/>
    <col min="5123" max="5123" width="6.85546875" style="54" bestFit="1" customWidth="1"/>
    <col min="5124" max="5124" width="9.140625" style="54" customWidth="1"/>
    <col min="5125" max="5125" width="12.7109375" style="54" customWidth="1"/>
    <col min="5126" max="5126" width="7" style="54" bestFit="1" customWidth="1"/>
    <col min="5127" max="5127" width="11.28515625" style="54" customWidth="1"/>
    <col min="5128" max="5128" width="12.7109375" style="54" customWidth="1"/>
    <col min="5129" max="5129" width="9.42578125" style="54" bestFit="1" customWidth="1"/>
    <col min="5130" max="5130" width="10.5703125" style="54" customWidth="1"/>
    <col min="5131" max="5131" width="12.7109375" style="54" customWidth="1"/>
    <col min="5132" max="5376" width="9.140625" style="54"/>
    <col min="5377" max="5377" width="25.85546875" style="54" customWidth="1"/>
    <col min="5378" max="5378" width="12.7109375" style="54" customWidth="1"/>
    <col min="5379" max="5379" width="6.85546875" style="54" bestFit="1" customWidth="1"/>
    <col min="5380" max="5380" width="9.140625" style="54" customWidth="1"/>
    <col min="5381" max="5381" width="12.7109375" style="54" customWidth="1"/>
    <col min="5382" max="5382" width="7" style="54" bestFit="1" customWidth="1"/>
    <col min="5383" max="5383" width="11.28515625" style="54" customWidth="1"/>
    <col min="5384" max="5384" width="12.7109375" style="54" customWidth="1"/>
    <col min="5385" max="5385" width="9.42578125" style="54" bestFit="1" customWidth="1"/>
    <col min="5386" max="5386" width="10.5703125" style="54" customWidth="1"/>
    <col min="5387" max="5387" width="12.7109375" style="54" customWidth="1"/>
    <col min="5388" max="5632" width="9.140625" style="54"/>
    <col min="5633" max="5633" width="25.85546875" style="54" customWidth="1"/>
    <col min="5634" max="5634" width="12.7109375" style="54" customWidth="1"/>
    <col min="5635" max="5635" width="6.85546875" style="54" bestFit="1" customWidth="1"/>
    <col min="5636" max="5636" width="9.140625" style="54" customWidth="1"/>
    <col min="5637" max="5637" width="12.7109375" style="54" customWidth="1"/>
    <col min="5638" max="5638" width="7" style="54" bestFit="1" customWidth="1"/>
    <col min="5639" max="5639" width="11.28515625" style="54" customWidth="1"/>
    <col min="5640" max="5640" width="12.7109375" style="54" customWidth="1"/>
    <col min="5641" max="5641" width="9.42578125" style="54" bestFit="1" customWidth="1"/>
    <col min="5642" max="5642" width="10.5703125" style="54" customWidth="1"/>
    <col min="5643" max="5643" width="12.7109375" style="54" customWidth="1"/>
    <col min="5644" max="5888" width="9.140625" style="54"/>
    <col min="5889" max="5889" width="25.85546875" style="54" customWidth="1"/>
    <col min="5890" max="5890" width="12.7109375" style="54" customWidth="1"/>
    <col min="5891" max="5891" width="6.85546875" style="54" bestFit="1" customWidth="1"/>
    <col min="5892" max="5892" width="9.140625" style="54" customWidth="1"/>
    <col min="5893" max="5893" width="12.7109375" style="54" customWidth="1"/>
    <col min="5894" max="5894" width="7" style="54" bestFit="1" customWidth="1"/>
    <col min="5895" max="5895" width="11.28515625" style="54" customWidth="1"/>
    <col min="5896" max="5896" width="12.7109375" style="54" customWidth="1"/>
    <col min="5897" max="5897" width="9.42578125" style="54" bestFit="1" customWidth="1"/>
    <col min="5898" max="5898" width="10.5703125" style="54" customWidth="1"/>
    <col min="5899" max="5899" width="12.7109375" style="54" customWidth="1"/>
    <col min="5900" max="6144" width="9.140625" style="54"/>
    <col min="6145" max="6145" width="25.85546875" style="54" customWidth="1"/>
    <col min="6146" max="6146" width="12.7109375" style="54" customWidth="1"/>
    <col min="6147" max="6147" width="6.85546875" style="54" bestFit="1" customWidth="1"/>
    <col min="6148" max="6148" width="9.140625" style="54" customWidth="1"/>
    <col min="6149" max="6149" width="12.7109375" style="54" customWidth="1"/>
    <col min="6150" max="6150" width="7" style="54" bestFit="1" customWidth="1"/>
    <col min="6151" max="6151" width="11.28515625" style="54" customWidth="1"/>
    <col min="6152" max="6152" width="12.7109375" style="54" customWidth="1"/>
    <col min="6153" max="6153" width="9.42578125" style="54" bestFit="1" customWidth="1"/>
    <col min="6154" max="6154" width="10.5703125" style="54" customWidth="1"/>
    <col min="6155" max="6155" width="12.7109375" style="54" customWidth="1"/>
    <col min="6156" max="6400" width="9.140625" style="54"/>
    <col min="6401" max="6401" width="25.85546875" style="54" customWidth="1"/>
    <col min="6402" max="6402" width="12.7109375" style="54" customWidth="1"/>
    <col min="6403" max="6403" width="6.85546875" style="54" bestFit="1" customWidth="1"/>
    <col min="6404" max="6404" width="9.140625" style="54" customWidth="1"/>
    <col min="6405" max="6405" width="12.7109375" style="54" customWidth="1"/>
    <col min="6406" max="6406" width="7" style="54" bestFit="1" customWidth="1"/>
    <col min="6407" max="6407" width="11.28515625" style="54" customWidth="1"/>
    <col min="6408" max="6408" width="12.7109375" style="54" customWidth="1"/>
    <col min="6409" max="6409" width="9.42578125" style="54" bestFit="1" customWidth="1"/>
    <col min="6410" max="6410" width="10.5703125" style="54" customWidth="1"/>
    <col min="6411" max="6411" width="12.7109375" style="54" customWidth="1"/>
    <col min="6412" max="6656" width="9.140625" style="54"/>
    <col min="6657" max="6657" width="25.85546875" style="54" customWidth="1"/>
    <col min="6658" max="6658" width="12.7109375" style="54" customWidth="1"/>
    <col min="6659" max="6659" width="6.85546875" style="54" bestFit="1" customWidth="1"/>
    <col min="6660" max="6660" width="9.140625" style="54" customWidth="1"/>
    <col min="6661" max="6661" width="12.7109375" style="54" customWidth="1"/>
    <col min="6662" max="6662" width="7" style="54" bestFit="1" customWidth="1"/>
    <col min="6663" max="6663" width="11.28515625" style="54" customWidth="1"/>
    <col min="6664" max="6664" width="12.7109375" style="54" customWidth="1"/>
    <col min="6665" max="6665" width="9.42578125" style="54" bestFit="1" customWidth="1"/>
    <col min="6666" max="6666" width="10.5703125" style="54" customWidth="1"/>
    <col min="6667" max="6667" width="12.7109375" style="54" customWidth="1"/>
    <col min="6668" max="6912" width="9.140625" style="54"/>
    <col min="6913" max="6913" width="25.85546875" style="54" customWidth="1"/>
    <col min="6914" max="6914" width="12.7109375" style="54" customWidth="1"/>
    <col min="6915" max="6915" width="6.85546875" style="54" bestFit="1" customWidth="1"/>
    <col min="6916" max="6916" width="9.140625" style="54" customWidth="1"/>
    <col min="6917" max="6917" width="12.7109375" style="54" customWidth="1"/>
    <col min="6918" max="6918" width="7" style="54" bestFit="1" customWidth="1"/>
    <col min="6919" max="6919" width="11.28515625" style="54" customWidth="1"/>
    <col min="6920" max="6920" width="12.7109375" style="54" customWidth="1"/>
    <col min="6921" max="6921" width="9.42578125" style="54" bestFit="1" customWidth="1"/>
    <col min="6922" max="6922" width="10.5703125" style="54" customWidth="1"/>
    <col min="6923" max="6923" width="12.7109375" style="54" customWidth="1"/>
    <col min="6924" max="7168" width="9.140625" style="54"/>
    <col min="7169" max="7169" width="25.85546875" style="54" customWidth="1"/>
    <col min="7170" max="7170" width="12.7109375" style="54" customWidth="1"/>
    <col min="7171" max="7171" width="6.85546875" style="54" bestFit="1" customWidth="1"/>
    <col min="7172" max="7172" width="9.140625" style="54" customWidth="1"/>
    <col min="7173" max="7173" width="12.7109375" style="54" customWidth="1"/>
    <col min="7174" max="7174" width="7" style="54" bestFit="1" customWidth="1"/>
    <col min="7175" max="7175" width="11.28515625" style="54" customWidth="1"/>
    <col min="7176" max="7176" width="12.7109375" style="54" customWidth="1"/>
    <col min="7177" max="7177" width="9.42578125" style="54" bestFit="1" customWidth="1"/>
    <col min="7178" max="7178" width="10.5703125" style="54" customWidth="1"/>
    <col min="7179" max="7179" width="12.7109375" style="54" customWidth="1"/>
    <col min="7180" max="7424" width="9.140625" style="54"/>
    <col min="7425" max="7425" width="25.85546875" style="54" customWidth="1"/>
    <col min="7426" max="7426" width="12.7109375" style="54" customWidth="1"/>
    <col min="7427" max="7427" width="6.85546875" style="54" bestFit="1" customWidth="1"/>
    <col min="7428" max="7428" width="9.140625" style="54" customWidth="1"/>
    <col min="7429" max="7429" width="12.7109375" style="54" customWidth="1"/>
    <col min="7430" max="7430" width="7" style="54" bestFit="1" customWidth="1"/>
    <col min="7431" max="7431" width="11.28515625" style="54" customWidth="1"/>
    <col min="7432" max="7432" width="12.7109375" style="54" customWidth="1"/>
    <col min="7433" max="7433" width="9.42578125" style="54" bestFit="1" customWidth="1"/>
    <col min="7434" max="7434" width="10.5703125" style="54" customWidth="1"/>
    <col min="7435" max="7435" width="12.7109375" style="54" customWidth="1"/>
    <col min="7436" max="7680" width="9.140625" style="54"/>
    <col min="7681" max="7681" width="25.85546875" style="54" customWidth="1"/>
    <col min="7682" max="7682" width="12.7109375" style="54" customWidth="1"/>
    <col min="7683" max="7683" width="6.85546875" style="54" bestFit="1" customWidth="1"/>
    <col min="7684" max="7684" width="9.140625" style="54" customWidth="1"/>
    <col min="7685" max="7685" width="12.7109375" style="54" customWidth="1"/>
    <col min="7686" max="7686" width="7" style="54" bestFit="1" customWidth="1"/>
    <col min="7687" max="7687" width="11.28515625" style="54" customWidth="1"/>
    <col min="7688" max="7688" width="12.7109375" style="54" customWidth="1"/>
    <col min="7689" max="7689" width="9.42578125" style="54" bestFit="1" customWidth="1"/>
    <col min="7690" max="7690" width="10.5703125" style="54" customWidth="1"/>
    <col min="7691" max="7691" width="12.7109375" style="54" customWidth="1"/>
    <col min="7692" max="7936" width="9.140625" style="54"/>
    <col min="7937" max="7937" width="25.85546875" style="54" customWidth="1"/>
    <col min="7938" max="7938" width="12.7109375" style="54" customWidth="1"/>
    <col min="7939" max="7939" width="6.85546875" style="54" bestFit="1" customWidth="1"/>
    <col min="7940" max="7940" width="9.140625" style="54" customWidth="1"/>
    <col min="7941" max="7941" width="12.7109375" style="54" customWidth="1"/>
    <col min="7942" max="7942" width="7" style="54" bestFit="1" customWidth="1"/>
    <col min="7943" max="7943" width="11.28515625" style="54" customWidth="1"/>
    <col min="7944" max="7944" width="12.7109375" style="54" customWidth="1"/>
    <col min="7945" max="7945" width="9.42578125" style="54" bestFit="1" customWidth="1"/>
    <col min="7946" max="7946" width="10.5703125" style="54" customWidth="1"/>
    <col min="7947" max="7947" width="12.7109375" style="54" customWidth="1"/>
    <col min="7948" max="8192" width="9.140625" style="54"/>
    <col min="8193" max="8193" width="25.85546875" style="54" customWidth="1"/>
    <col min="8194" max="8194" width="12.7109375" style="54" customWidth="1"/>
    <col min="8195" max="8195" width="6.85546875" style="54" bestFit="1" customWidth="1"/>
    <col min="8196" max="8196" width="9.140625" style="54" customWidth="1"/>
    <col min="8197" max="8197" width="12.7109375" style="54" customWidth="1"/>
    <col min="8198" max="8198" width="7" style="54" bestFit="1" customWidth="1"/>
    <col min="8199" max="8199" width="11.28515625" style="54" customWidth="1"/>
    <col min="8200" max="8200" width="12.7109375" style="54" customWidth="1"/>
    <col min="8201" max="8201" width="9.42578125" style="54" bestFit="1" customWidth="1"/>
    <col min="8202" max="8202" width="10.5703125" style="54" customWidth="1"/>
    <col min="8203" max="8203" width="12.7109375" style="54" customWidth="1"/>
    <col min="8204" max="8448" width="9.140625" style="54"/>
    <col min="8449" max="8449" width="25.85546875" style="54" customWidth="1"/>
    <col min="8450" max="8450" width="12.7109375" style="54" customWidth="1"/>
    <col min="8451" max="8451" width="6.85546875" style="54" bestFit="1" customWidth="1"/>
    <col min="8452" max="8452" width="9.140625" style="54" customWidth="1"/>
    <col min="8453" max="8453" width="12.7109375" style="54" customWidth="1"/>
    <col min="8454" max="8454" width="7" style="54" bestFit="1" customWidth="1"/>
    <col min="8455" max="8455" width="11.28515625" style="54" customWidth="1"/>
    <col min="8456" max="8456" width="12.7109375" style="54" customWidth="1"/>
    <col min="8457" max="8457" width="9.42578125" style="54" bestFit="1" customWidth="1"/>
    <col min="8458" max="8458" width="10.5703125" style="54" customWidth="1"/>
    <col min="8459" max="8459" width="12.7109375" style="54" customWidth="1"/>
    <col min="8460" max="8704" width="9.140625" style="54"/>
    <col min="8705" max="8705" width="25.85546875" style="54" customWidth="1"/>
    <col min="8706" max="8706" width="12.7109375" style="54" customWidth="1"/>
    <col min="8707" max="8707" width="6.85546875" style="54" bestFit="1" customWidth="1"/>
    <col min="8708" max="8708" width="9.140625" style="54" customWidth="1"/>
    <col min="8709" max="8709" width="12.7109375" style="54" customWidth="1"/>
    <col min="8710" max="8710" width="7" style="54" bestFit="1" customWidth="1"/>
    <col min="8711" max="8711" width="11.28515625" style="54" customWidth="1"/>
    <col min="8712" max="8712" width="12.7109375" style="54" customWidth="1"/>
    <col min="8713" max="8713" width="9.42578125" style="54" bestFit="1" customWidth="1"/>
    <col min="8714" max="8714" width="10.5703125" style="54" customWidth="1"/>
    <col min="8715" max="8715" width="12.7109375" style="54" customWidth="1"/>
    <col min="8716" max="8960" width="9.140625" style="54"/>
    <col min="8961" max="8961" width="25.85546875" style="54" customWidth="1"/>
    <col min="8962" max="8962" width="12.7109375" style="54" customWidth="1"/>
    <col min="8963" max="8963" width="6.85546875" style="54" bestFit="1" customWidth="1"/>
    <col min="8964" max="8964" width="9.140625" style="54" customWidth="1"/>
    <col min="8965" max="8965" width="12.7109375" style="54" customWidth="1"/>
    <col min="8966" max="8966" width="7" style="54" bestFit="1" customWidth="1"/>
    <col min="8967" max="8967" width="11.28515625" style="54" customWidth="1"/>
    <col min="8968" max="8968" width="12.7109375" style="54" customWidth="1"/>
    <col min="8969" max="8969" width="9.42578125" style="54" bestFit="1" customWidth="1"/>
    <col min="8970" max="8970" width="10.5703125" style="54" customWidth="1"/>
    <col min="8971" max="8971" width="12.7109375" style="54" customWidth="1"/>
    <col min="8972" max="9216" width="9.140625" style="54"/>
    <col min="9217" max="9217" width="25.85546875" style="54" customWidth="1"/>
    <col min="9218" max="9218" width="12.7109375" style="54" customWidth="1"/>
    <col min="9219" max="9219" width="6.85546875" style="54" bestFit="1" customWidth="1"/>
    <col min="9220" max="9220" width="9.140625" style="54" customWidth="1"/>
    <col min="9221" max="9221" width="12.7109375" style="54" customWidth="1"/>
    <col min="9222" max="9222" width="7" style="54" bestFit="1" customWidth="1"/>
    <col min="9223" max="9223" width="11.28515625" style="54" customWidth="1"/>
    <col min="9224" max="9224" width="12.7109375" style="54" customWidth="1"/>
    <col min="9225" max="9225" width="9.42578125" style="54" bestFit="1" customWidth="1"/>
    <col min="9226" max="9226" width="10.5703125" style="54" customWidth="1"/>
    <col min="9227" max="9227" width="12.7109375" style="54" customWidth="1"/>
    <col min="9228" max="9472" width="9.140625" style="54"/>
    <col min="9473" max="9473" width="25.85546875" style="54" customWidth="1"/>
    <col min="9474" max="9474" width="12.7109375" style="54" customWidth="1"/>
    <col min="9475" max="9475" width="6.85546875" style="54" bestFit="1" customWidth="1"/>
    <col min="9476" max="9476" width="9.140625" style="54" customWidth="1"/>
    <col min="9477" max="9477" width="12.7109375" style="54" customWidth="1"/>
    <col min="9478" max="9478" width="7" style="54" bestFit="1" customWidth="1"/>
    <col min="9479" max="9479" width="11.28515625" style="54" customWidth="1"/>
    <col min="9480" max="9480" width="12.7109375" style="54" customWidth="1"/>
    <col min="9481" max="9481" width="9.42578125" style="54" bestFit="1" customWidth="1"/>
    <col min="9482" max="9482" width="10.5703125" style="54" customWidth="1"/>
    <col min="9483" max="9483" width="12.7109375" style="54" customWidth="1"/>
    <col min="9484" max="9728" width="9.140625" style="54"/>
    <col min="9729" max="9729" width="25.85546875" style="54" customWidth="1"/>
    <col min="9730" max="9730" width="12.7109375" style="54" customWidth="1"/>
    <col min="9731" max="9731" width="6.85546875" style="54" bestFit="1" customWidth="1"/>
    <col min="9732" max="9732" width="9.140625" style="54" customWidth="1"/>
    <col min="9733" max="9733" width="12.7109375" style="54" customWidth="1"/>
    <col min="9734" max="9734" width="7" style="54" bestFit="1" customWidth="1"/>
    <col min="9735" max="9735" width="11.28515625" style="54" customWidth="1"/>
    <col min="9736" max="9736" width="12.7109375" style="54" customWidth="1"/>
    <col min="9737" max="9737" width="9.42578125" style="54" bestFit="1" customWidth="1"/>
    <col min="9738" max="9738" width="10.5703125" style="54" customWidth="1"/>
    <col min="9739" max="9739" width="12.7109375" style="54" customWidth="1"/>
    <col min="9740" max="9984" width="9.140625" style="54"/>
    <col min="9985" max="9985" width="25.85546875" style="54" customWidth="1"/>
    <col min="9986" max="9986" width="12.7109375" style="54" customWidth="1"/>
    <col min="9987" max="9987" width="6.85546875" style="54" bestFit="1" customWidth="1"/>
    <col min="9988" max="9988" width="9.140625" style="54" customWidth="1"/>
    <col min="9989" max="9989" width="12.7109375" style="54" customWidth="1"/>
    <col min="9990" max="9990" width="7" style="54" bestFit="1" customWidth="1"/>
    <col min="9991" max="9991" width="11.28515625" style="54" customWidth="1"/>
    <col min="9992" max="9992" width="12.7109375" style="54" customWidth="1"/>
    <col min="9993" max="9993" width="9.42578125" style="54" bestFit="1" customWidth="1"/>
    <col min="9994" max="9994" width="10.5703125" style="54" customWidth="1"/>
    <col min="9995" max="9995" width="12.7109375" style="54" customWidth="1"/>
    <col min="9996" max="10240" width="9.140625" style="54"/>
    <col min="10241" max="10241" width="25.85546875" style="54" customWidth="1"/>
    <col min="10242" max="10242" width="12.7109375" style="54" customWidth="1"/>
    <col min="10243" max="10243" width="6.85546875" style="54" bestFit="1" customWidth="1"/>
    <col min="10244" max="10244" width="9.140625" style="54" customWidth="1"/>
    <col min="10245" max="10245" width="12.7109375" style="54" customWidth="1"/>
    <col min="10246" max="10246" width="7" style="54" bestFit="1" customWidth="1"/>
    <col min="10247" max="10247" width="11.28515625" style="54" customWidth="1"/>
    <col min="10248" max="10248" width="12.7109375" style="54" customWidth="1"/>
    <col min="10249" max="10249" width="9.42578125" style="54" bestFit="1" customWidth="1"/>
    <col min="10250" max="10250" width="10.5703125" style="54" customWidth="1"/>
    <col min="10251" max="10251" width="12.7109375" style="54" customWidth="1"/>
    <col min="10252" max="10496" width="9.140625" style="54"/>
    <col min="10497" max="10497" width="25.85546875" style="54" customWidth="1"/>
    <col min="10498" max="10498" width="12.7109375" style="54" customWidth="1"/>
    <col min="10499" max="10499" width="6.85546875" style="54" bestFit="1" customWidth="1"/>
    <col min="10500" max="10500" width="9.140625" style="54" customWidth="1"/>
    <col min="10501" max="10501" width="12.7109375" style="54" customWidth="1"/>
    <col min="10502" max="10502" width="7" style="54" bestFit="1" customWidth="1"/>
    <col min="10503" max="10503" width="11.28515625" style="54" customWidth="1"/>
    <col min="10504" max="10504" width="12.7109375" style="54" customWidth="1"/>
    <col min="10505" max="10505" width="9.42578125" style="54" bestFit="1" customWidth="1"/>
    <col min="10506" max="10506" width="10.5703125" style="54" customWidth="1"/>
    <col min="10507" max="10507" width="12.7109375" style="54" customWidth="1"/>
    <col min="10508" max="10752" width="9.140625" style="54"/>
    <col min="10753" max="10753" width="25.85546875" style="54" customWidth="1"/>
    <col min="10754" max="10754" width="12.7109375" style="54" customWidth="1"/>
    <col min="10755" max="10755" width="6.85546875" style="54" bestFit="1" customWidth="1"/>
    <col min="10756" max="10756" width="9.140625" style="54" customWidth="1"/>
    <col min="10757" max="10757" width="12.7109375" style="54" customWidth="1"/>
    <col min="10758" max="10758" width="7" style="54" bestFit="1" customWidth="1"/>
    <col min="10759" max="10759" width="11.28515625" style="54" customWidth="1"/>
    <col min="10760" max="10760" width="12.7109375" style="54" customWidth="1"/>
    <col min="10761" max="10761" width="9.42578125" style="54" bestFit="1" customWidth="1"/>
    <col min="10762" max="10762" width="10.5703125" style="54" customWidth="1"/>
    <col min="10763" max="10763" width="12.7109375" style="54" customWidth="1"/>
    <col min="10764" max="11008" width="9.140625" style="54"/>
    <col min="11009" max="11009" width="25.85546875" style="54" customWidth="1"/>
    <col min="11010" max="11010" width="12.7109375" style="54" customWidth="1"/>
    <col min="11011" max="11011" width="6.85546875" style="54" bestFit="1" customWidth="1"/>
    <col min="11012" max="11012" width="9.140625" style="54" customWidth="1"/>
    <col min="11013" max="11013" width="12.7109375" style="54" customWidth="1"/>
    <col min="11014" max="11014" width="7" style="54" bestFit="1" customWidth="1"/>
    <col min="11015" max="11015" width="11.28515625" style="54" customWidth="1"/>
    <col min="11016" max="11016" width="12.7109375" style="54" customWidth="1"/>
    <col min="11017" max="11017" width="9.42578125" style="54" bestFit="1" customWidth="1"/>
    <col min="11018" max="11018" width="10.5703125" style="54" customWidth="1"/>
    <col min="11019" max="11019" width="12.7109375" style="54" customWidth="1"/>
    <col min="11020" max="11264" width="9.140625" style="54"/>
    <col min="11265" max="11265" width="25.85546875" style="54" customWidth="1"/>
    <col min="11266" max="11266" width="12.7109375" style="54" customWidth="1"/>
    <col min="11267" max="11267" width="6.85546875" style="54" bestFit="1" customWidth="1"/>
    <col min="11268" max="11268" width="9.140625" style="54" customWidth="1"/>
    <col min="11269" max="11269" width="12.7109375" style="54" customWidth="1"/>
    <col min="11270" max="11270" width="7" style="54" bestFit="1" customWidth="1"/>
    <col min="11271" max="11271" width="11.28515625" style="54" customWidth="1"/>
    <col min="11272" max="11272" width="12.7109375" style="54" customWidth="1"/>
    <col min="11273" max="11273" width="9.42578125" style="54" bestFit="1" customWidth="1"/>
    <col min="11274" max="11274" width="10.5703125" style="54" customWidth="1"/>
    <col min="11275" max="11275" width="12.7109375" style="54" customWidth="1"/>
    <col min="11276" max="11520" width="9.140625" style="54"/>
    <col min="11521" max="11521" width="25.85546875" style="54" customWidth="1"/>
    <col min="11522" max="11522" width="12.7109375" style="54" customWidth="1"/>
    <col min="11523" max="11523" width="6.85546875" style="54" bestFit="1" customWidth="1"/>
    <col min="11524" max="11524" width="9.140625" style="54" customWidth="1"/>
    <col min="11525" max="11525" width="12.7109375" style="54" customWidth="1"/>
    <col min="11526" max="11526" width="7" style="54" bestFit="1" customWidth="1"/>
    <col min="11527" max="11527" width="11.28515625" style="54" customWidth="1"/>
    <col min="11528" max="11528" width="12.7109375" style="54" customWidth="1"/>
    <col min="11529" max="11529" width="9.42578125" style="54" bestFit="1" customWidth="1"/>
    <col min="11530" max="11530" width="10.5703125" style="54" customWidth="1"/>
    <col min="11531" max="11531" width="12.7109375" style="54" customWidth="1"/>
    <col min="11532" max="11776" width="9.140625" style="54"/>
    <col min="11777" max="11777" width="25.85546875" style="54" customWidth="1"/>
    <col min="11778" max="11778" width="12.7109375" style="54" customWidth="1"/>
    <col min="11779" max="11779" width="6.85546875" style="54" bestFit="1" customWidth="1"/>
    <col min="11780" max="11780" width="9.140625" style="54" customWidth="1"/>
    <col min="11781" max="11781" width="12.7109375" style="54" customWidth="1"/>
    <col min="11782" max="11782" width="7" style="54" bestFit="1" customWidth="1"/>
    <col min="11783" max="11783" width="11.28515625" style="54" customWidth="1"/>
    <col min="11784" max="11784" width="12.7109375" style="54" customWidth="1"/>
    <col min="11785" max="11785" width="9.42578125" style="54" bestFit="1" customWidth="1"/>
    <col min="11786" max="11786" width="10.5703125" style="54" customWidth="1"/>
    <col min="11787" max="11787" width="12.7109375" style="54" customWidth="1"/>
    <col min="11788" max="12032" width="9.140625" style="54"/>
    <col min="12033" max="12033" width="25.85546875" style="54" customWidth="1"/>
    <col min="12034" max="12034" width="12.7109375" style="54" customWidth="1"/>
    <col min="12035" max="12035" width="6.85546875" style="54" bestFit="1" customWidth="1"/>
    <col min="12036" max="12036" width="9.140625" style="54" customWidth="1"/>
    <col min="12037" max="12037" width="12.7109375" style="54" customWidth="1"/>
    <col min="12038" max="12038" width="7" style="54" bestFit="1" customWidth="1"/>
    <col min="12039" max="12039" width="11.28515625" style="54" customWidth="1"/>
    <col min="12040" max="12040" width="12.7109375" style="54" customWidth="1"/>
    <col min="12041" max="12041" width="9.42578125" style="54" bestFit="1" customWidth="1"/>
    <col min="12042" max="12042" width="10.5703125" style="54" customWidth="1"/>
    <col min="12043" max="12043" width="12.7109375" style="54" customWidth="1"/>
    <col min="12044" max="12288" width="9.140625" style="54"/>
    <col min="12289" max="12289" width="25.85546875" style="54" customWidth="1"/>
    <col min="12290" max="12290" width="12.7109375" style="54" customWidth="1"/>
    <col min="12291" max="12291" width="6.85546875" style="54" bestFit="1" customWidth="1"/>
    <col min="12292" max="12292" width="9.140625" style="54" customWidth="1"/>
    <col min="12293" max="12293" width="12.7109375" style="54" customWidth="1"/>
    <col min="12294" max="12294" width="7" style="54" bestFit="1" customWidth="1"/>
    <col min="12295" max="12295" width="11.28515625" style="54" customWidth="1"/>
    <col min="12296" max="12296" width="12.7109375" style="54" customWidth="1"/>
    <col min="12297" max="12297" width="9.42578125" style="54" bestFit="1" customWidth="1"/>
    <col min="12298" max="12298" width="10.5703125" style="54" customWidth="1"/>
    <col min="12299" max="12299" width="12.7109375" style="54" customWidth="1"/>
    <col min="12300" max="12544" width="9.140625" style="54"/>
    <col min="12545" max="12545" width="25.85546875" style="54" customWidth="1"/>
    <col min="12546" max="12546" width="12.7109375" style="54" customWidth="1"/>
    <col min="12547" max="12547" width="6.85546875" style="54" bestFit="1" customWidth="1"/>
    <col min="12548" max="12548" width="9.140625" style="54" customWidth="1"/>
    <col min="12549" max="12549" width="12.7109375" style="54" customWidth="1"/>
    <col min="12550" max="12550" width="7" style="54" bestFit="1" customWidth="1"/>
    <col min="12551" max="12551" width="11.28515625" style="54" customWidth="1"/>
    <col min="12552" max="12552" width="12.7109375" style="54" customWidth="1"/>
    <col min="12553" max="12553" width="9.42578125" style="54" bestFit="1" customWidth="1"/>
    <col min="12554" max="12554" width="10.5703125" style="54" customWidth="1"/>
    <col min="12555" max="12555" width="12.7109375" style="54" customWidth="1"/>
    <col min="12556" max="12800" width="9.140625" style="54"/>
    <col min="12801" max="12801" width="25.85546875" style="54" customWidth="1"/>
    <col min="12802" max="12802" width="12.7109375" style="54" customWidth="1"/>
    <col min="12803" max="12803" width="6.85546875" style="54" bestFit="1" customWidth="1"/>
    <col min="12804" max="12804" width="9.140625" style="54" customWidth="1"/>
    <col min="12805" max="12805" width="12.7109375" style="54" customWidth="1"/>
    <col min="12806" max="12806" width="7" style="54" bestFit="1" customWidth="1"/>
    <col min="12807" max="12807" width="11.28515625" style="54" customWidth="1"/>
    <col min="12808" max="12808" width="12.7109375" style="54" customWidth="1"/>
    <col min="12809" max="12809" width="9.42578125" style="54" bestFit="1" customWidth="1"/>
    <col min="12810" max="12810" width="10.5703125" style="54" customWidth="1"/>
    <col min="12811" max="12811" width="12.7109375" style="54" customWidth="1"/>
    <col min="12812" max="13056" width="9.140625" style="54"/>
    <col min="13057" max="13057" width="25.85546875" style="54" customWidth="1"/>
    <col min="13058" max="13058" width="12.7109375" style="54" customWidth="1"/>
    <col min="13059" max="13059" width="6.85546875" style="54" bestFit="1" customWidth="1"/>
    <col min="13060" max="13060" width="9.140625" style="54" customWidth="1"/>
    <col min="13061" max="13061" width="12.7109375" style="54" customWidth="1"/>
    <col min="13062" max="13062" width="7" style="54" bestFit="1" customWidth="1"/>
    <col min="13063" max="13063" width="11.28515625" style="54" customWidth="1"/>
    <col min="13064" max="13064" width="12.7109375" style="54" customWidth="1"/>
    <col min="13065" max="13065" width="9.42578125" style="54" bestFit="1" customWidth="1"/>
    <col min="13066" max="13066" width="10.5703125" style="54" customWidth="1"/>
    <col min="13067" max="13067" width="12.7109375" style="54" customWidth="1"/>
    <col min="13068" max="13312" width="9.140625" style="54"/>
    <col min="13313" max="13313" width="25.85546875" style="54" customWidth="1"/>
    <col min="13314" max="13314" width="12.7109375" style="54" customWidth="1"/>
    <col min="13315" max="13315" width="6.85546875" style="54" bestFit="1" customWidth="1"/>
    <col min="13316" max="13316" width="9.140625" style="54" customWidth="1"/>
    <col min="13317" max="13317" width="12.7109375" style="54" customWidth="1"/>
    <col min="13318" max="13318" width="7" style="54" bestFit="1" customWidth="1"/>
    <col min="13319" max="13319" width="11.28515625" style="54" customWidth="1"/>
    <col min="13320" max="13320" width="12.7109375" style="54" customWidth="1"/>
    <col min="13321" max="13321" width="9.42578125" style="54" bestFit="1" customWidth="1"/>
    <col min="13322" max="13322" width="10.5703125" style="54" customWidth="1"/>
    <col min="13323" max="13323" width="12.7109375" style="54" customWidth="1"/>
    <col min="13324" max="13568" width="9.140625" style="54"/>
    <col min="13569" max="13569" width="25.85546875" style="54" customWidth="1"/>
    <col min="13570" max="13570" width="12.7109375" style="54" customWidth="1"/>
    <col min="13571" max="13571" width="6.85546875" style="54" bestFit="1" customWidth="1"/>
    <col min="13572" max="13572" width="9.140625" style="54" customWidth="1"/>
    <col min="13573" max="13573" width="12.7109375" style="54" customWidth="1"/>
    <col min="13574" max="13574" width="7" style="54" bestFit="1" customWidth="1"/>
    <col min="13575" max="13575" width="11.28515625" style="54" customWidth="1"/>
    <col min="13576" max="13576" width="12.7109375" style="54" customWidth="1"/>
    <col min="13577" max="13577" width="9.42578125" style="54" bestFit="1" customWidth="1"/>
    <col min="13578" max="13578" width="10.5703125" style="54" customWidth="1"/>
    <col min="13579" max="13579" width="12.7109375" style="54" customWidth="1"/>
    <col min="13580" max="13824" width="9.140625" style="54"/>
    <col min="13825" max="13825" width="25.85546875" style="54" customWidth="1"/>
    <col min="13826" max="13826" width="12.7109375" style="54" customWidth="1"/>
    <col min="13827" max="13827" width="6.85546875" style="54" bestFit="1" customWidth="1"/>
    <col min="13828" max="13828" width="9.140625" style="54" customWidth="1"/>
    <col min="13829" max="13829" width="12.7109375" style="54" customWidth="1"/>
    <col min="13830" max="13830" width="7" style="54" bestFit="1" customWidth="1"/>
    <col min="13831" max="13831" width="11.28515625" style="54" customWidth="1"/>
    <col min="13832" max="13832" width="12.7109375" style="54" customWidth="1"/>
    <col min="13833" max="13833" width="9.42578125" style="54" bestFit="1" customWidth="1"/>
    <col min="13834" max="13834" width="10.5703125" style="54" customWidth="1"/>
    <col min="13835" max="13835" width="12.7109375" style="54" customWidth="1"/>
    <col min="13836" max="14080" width="9.140625" style="54"/>
    <col min="14081" max="14081" width="25.85546875" style="54" customWidth="1"/>
    <col min="14082" max="14082" width="12.7109375" style="54" customWidth="1"/>
    <col min="14083" max="14083" width="6.85546875" style="54" bestFit="1" customWidth="1"/>
    <col min="14084" max="14084" width="9.140625" style="54" customWidth="1"/>
    <col min="14085" max="14085" width="12.7109375" style="54" customWidth="1"/>
    <col min="14086" max="14086" width="7" style="54" bestFit="1" customWidth="1"/>
    <col min="14087" max="14087" width="11.28515625" style="54" customWidth="1"/>
    <col min="14088" max="14088" width="12.7109375" style="54" customWidth="1"/>
    <col min="14089" max="14089" width="9.42578125" style="54" bestFit="1" customWidth="1"/>
    <col min="14090" max="14090" width="10.5703125" style="54" customWidth="1"/>
    <col min="14091" max="14091" width="12.7109375" style="54" customWidth="1"/>
    <col min="14092" max="14336" width="9.140625" style="54"/>
    <col min="14337" max="14337" width="25.85546875" style="54" customWidth="1"/>
    <col min="14338" max="14338" width="12.7109375" style="54" customWidth="1"/>
    <col min="14339" max="14339" width="6.85546875" style="54" bestFit="1" customWidth="1"/>
    <col min="14340" max="14340" width="9.140625" style="54" customWidth="1"/>
    <col min="14341" max="14341" width="12.7109375" style="54" customWidth="1"/>
    <col min="14342" max="14342" width="7" style="54" bestFit="1" customWidth="1"/>
    <col min="14343" max="14343" width="11.28515625" style="54" customWidth="1"/>
    <col min="14344" max="14344" width="12.7109375" style="54" customWidth="1"/>
    <col min="14345" max="14345" width="9.42578125" style="54" bestFit="1" customWidth="1"/>
    <col min="14346" max="14346" width="10.5703125" style="54" customWidth="1"/>
    <col min="14347" max="14347" width="12.7109375" style="54" customWidth="1"/>
    <col min="14348" max="14592" width="9.140625" style="54"/>
    <col min="14593" max="14593" width="25.85546875" style="54" customWidth="1"/>
    <col min="14594" max="14594" width="12.7109375" style="54" customWidth="1"/>
    <col min="14595" max="14595" width="6.85546875" style="54" bestFit="1" customWidth="1"/>
    <col min="14596" max="14596" width="9.140625" style="54" customWidth="1"/>
    <col min="14597" max="14597" width="12.7109375" style="54" customWidth="1"/>
    <col min="14598" max="14598" width="7" style="54" bestFit="1" customWidth="1"/>
    <col min="14599" max="14599" width="11.28515625" style="54" customWidth="1"/>
    <col min="14600" max="14600" width="12.7109375" style="54" customWidth="1"/>
    <col min="14601" max="14601" width="9.42578125" style="54" bestFit="1" customWidth="1"/>
    <col min="14602" max="14602" width="10.5703125" style="54" customWidth="1"/>
    <col min="14603" max="14603" width="12.7109375" style="54" customWidth="1"/>
    <col min="14604" max="14848" width="9.140625" style="54"/>
    <col min="14849" max="14849" width="25.85546875" style="54" customWidth="1"/>
    <col min="14850" max="14850" width="12.7109375" style="54" customWidth="1"/>
    <col min="14851" max="14851" width="6.85546875" style="54" bestFit="1" customWidth="1"/>
    <col min="14852" max="14852" width="9.140625" style="54" customWidth="1"/>
    <col min="14853" max="14853" width="12.7109375" style="54" customWidth="1"/>
    <col min="14854" max="14854" width="7" style="54" bestFit="1" customWidth="1"/>
    <col min="14855" max="14855" width="11.28515625" style="54" customWidth="1"/>
    <col min="14856" max="14856" width="12.7109375" style="54" customWidth="1"/>
    <col min="14857" max="14857" width="9.42578125" style="54" bestFit="1" customWidth="1"/>
    <col min="14858" max="14858" width="10.5703125" style="54" customWidth="1"/>
    <col min="14859" max="14859" width="12.7109375" style="54" customWidth="1"/>
    <col min="14860" max="15104" width="9.140625" style="54"/>
    <col min="15105" max="15105" width="25.85546875" style="54" customWidth="1"/>
    <col min="15106" max="15106" width="12.7109375" style="54" customWidth="1"/>
    <col min="15107" max="15107" width="6.85546875" style="54" bestFit="1" customWidth="1"/>
    <col min="15108" max="15108" width="9.140625" style="54" customWidth="1"/>
    <col min="15109" max="15109" width="12.7109375" style="54" customWidth="1"/>
    <col min="15110" max="15110" width="7" style="54" bestFit="1" customWidth="1"/>
    <col min="15111" max="15111" width="11.28515625" style="54" customWidth="1"/>
    <col min="15112" max="15112" width="12.7109375" style="54" customWidth="1"/>
    <col min="15113" max="15113" width="9.42578125" style="54" bestFit="1" customWidth="1"/>
    <col min="15114" max="15114" width="10.5703125" style="54" customWidth="1"/>
    <col min="15115" max="15115" width="12.7109375" style="54" customWidth="1"/>
    <col min="15116" max="15360" width="9.140625" style="54"/>
    <col min="15361" max="15361" width="25.85546875" style="54" customWidth="1"/>
    <col min="15362" max="15362" width="12.7109375" style="54" customWidth="1"/>
    <col min="15363" max="15363" width="6.85546875" style="54" bestFit="1" customWidth="1"/>
    <col min="15364" max="15364" width="9.140625" style="54" customWidth="1"/>
    <col min="15365" max="15365" width="12.7109375" style="54" customWidth="1"/>
    <col min="15366" max="15366" width="7" style="54" bestFit="1" customWidth="1"/>
    <col min="15367" max="15367" width="11.28515625" style="54" customWidth="1"/>
    <col min="15368" max="15368" width="12.7109375" style="54" customWidth="1"/>
    <col min="15369" max="15369" width="9.42578125" style="54" bestFit="1" customWidth="1"/>
    <col min="15370" max="15370" width="10.5703125" style="54" customWidth="1"/>
    <col min="15371" max="15371" width="12.7109375" style="54" customWidth="1"/>
    <col min="15372" max="15616" width="9.140625" style="54"/>
    <col min="15617" max="15617" width="25.85546875" style="54" customWidth="1"/>
    <col min="15618" max="15618" width="12.7109375" style="54" customWidth="1"/>
    <col min="15619" max="15619" width="6.85546875" style="54" bestFit="1" customWidth="1"/>
    <col min="15620" max="15620" width="9.140625" style="54" customWidth="1"/>
    <col min="15621" max="15621" width="12.7109375" style="54" customWidth="1"/>
    <col min="15622" max="15622" width="7" style="54" bestFit="1" customWidth="1"/>
    <col min="15623" max="15623" width="11.28515625" style="54" customWidth="1"/>
    <col min="15624" max="15624" width="12.7109375" style="54" customWidth="1"/>
    <col min="15625" max="15625" width="9.42578125" style="54" bestFit="1" customWidth="1"/>
    <col min="15626" max="15626" width="10.5703125" style="54" customWidth="1"/>
    <col min="15627" max="15627" width="12.7109375" style="54" customWidth="1"/>
    <col min="15628" max="15872" width="9.140625" style="54"/>
    <col min="15873" max="15873" width="25.85546875" style="54" customWidth="1"/>
    <col min="15874" max="15874" width="12.7109375" style="54" customWidth="1"/>
    <col min="15875" max="15875" width="6.85546875" style="54" bestFit="1" customWidth="1"/>
    <col min="15876" max="15876" width="9.140625" style="54" customWidth="1"/>
    <col min="15877" max="15877" width="12.7109375" style="54" customWidth="1"/>
    <col min="15878" max="15878" width="7" style="54" bestFit="1" customWidth="1"/>
    <col min="15879" max="15879" width="11.28515625" style="54" customWidth="1"/>
    <col min="15880" max="15880" width="12.7109375" style="54" customWidth="1"/>
    <col min="15881" max="15881" width="9.42578125" style="54" bestFit="1" customWidth="1"/>
    <col min="15882" max="15882" width="10.5703125" style="54" customWidth="1"/>
    <col min="15883" max="15883" width="12.7109375" style="54" customWidth="1"/>
    <col min="15884" max="16128" width="9.140625" style="54"/>
    <col min="16129" max="16129" width="25.85546875" style="54" customWidth="1"/>
    <col min="16130" max="16130" width="12.7109375" style="54" customWidth="1"/>
    <col min="16131" max="16131" width="6.85546875" style="54" bestFit="1" customWidth="1"/>
    <col min="16132" max="16132" width="9.140625" style="54" customWidth="1"/>
    <col min="16133" max="16133" width="12.7109375" style="54" customWidth="1"/>
    <col min="16134" max="16134" width="7" style="54" bestFit="1" customWidth="1"/>
    <col min="16135" max="16135" width="11.28515625" style="54" customWidth="1"/>
    <col min="16136" max="16136" width="12.7109375" style="54" customWidth="1"/>
    <col min="16137" max="16137" width="9.42578125" style="54" bestFit="1" customWidth="1"/>
    <col min="16138" max="16138" width="10.5703125" style="54" customWidth="1"/>
    <col min="16139" max="16139" width="12.7109375" style="54" customWidth="1"/>
    <col min="16140" max="16384" width="9.140625" style="54"/>
  </cols>
  <sheetData>
    <row r="1" spans="1:11">
      <c r="J1" s="455" t="s">
        <v>340</v>
      </c>
      <c r="K1" s="455"/>
    </row>
    <row r="2" spans="1:11" ht="35.25" customHeight="1">
      <c r="H2" s="456" t="s">
        <v>505</v>
      </c>
      <c r="I2" s="456"/>
      <c r="J2" s="456"/>
      <c r="K2" s="456"/>
    </row>
    <row r="4" spans="1:11">
      <c r="A4" s="467" t="s">
        <v>515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</row>
    <row r="6" spans="1:11">
      <c r="A6" s="468"/>
      <c r="B6" s="469" t="s">
        <v>516</v>
      </c>
      <c r="C6" s="469"/>
      <c r="D6" s="469"/>
      <c r="E6" s="469" t="s">
        <v>517</v>
      </c>
      <c r="F6" s="469"/>
      <c r="G6" s="469"/>
      <c r="H6" s="469" t="s">
        <v>423</v>
      </c>
      <c r="I6" s="469"/>
      <c r="J6" s="469"/>
      <c r="K6" s="469"/>
    </row>
    <row r="7" spans="1:11" ht="22.5" customHeight="1">
      <c r="A7" s="468"/>
      <c r="B7" s="470" t="s">
        <v>419</v>
      </c>
      <c r="C7" s="468" t="s">
        <v>341</v>
      </c>
      <c r="D7" s="468"/>
      <c r="E7" s="470" t="s">
        <v>518</v>
      </c>
      <c r="F7" s="468" t="s">
        <v>341</v>
      </c>
      <c r="G7" s="468"/>
      <c r="H7" s="470" t="s">
        <v>420</v>
      </c>
      <c r="I7" s="468" t="s">
        <v>341</v>
      </c>
      <c r="J7" s="468"/>
      <c r="K7" s="470" t="s">
        <v>519</v>
      </c>
    </row>
    <row r="8" spans="1:11" ht="30">
      <c r="A8" s="468"/>
      <c r="B8" s="470"/>
      <c r="C8" s="109" t="s">
        <v>342</v>
      </c>
      <c r="D8" s="108" t="s">
        <v>343</v>
      </c>
      <c r="E8" s="470"/>
      <c r="F8" s="109" t="s">
        <v>342</v>
      </c>
      <c r="G8" s="108" t="s">
        <v>343</v>
      </c>
      <c r="H8" s="470"/>
      <c r="I8" s="109" t="s">
        <v>342</v>
      </c>
      <c r="J8" s="108" t="s">
        <v>343</v>
      </c>
      <c r="K8" s="470"/>
    </row>
    <row r="9" spans="1:11" ht="15.75">
      <c r="A9" s="466" t="s">
        <v>344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</row>
    <row r="10" spans="1:11" ht="15.75">
      <c r="A10" s="85" t="s">
        <v>345</v>
      </c>
      <c r="B10" s="85">
        <v>9176</v>
      </c>
      <c r="C10" s="85">
        <v>921</v>
      </c>
      <c r="D10" s="85">
        <v>32.6</v>
      </c>
      <c r="E10" s="86">
        <v>10076</v>
      </c>
      <c r="F10" s="86">
        <v>797</v>
      </c>
      <c r="G10" s="100">
        <v>28.2</v>
      </c>
      <c r="H10" s="86">
        <v>10200</v>
      </c>
      <c r="I10" s="86">
        <v>1100</v>
      </c>
      <c r="J10" s="100">
        <v>38.9</v>
      </c>
      <c r="K10" s="86">
        <v>9980</v>
      </c>
    </row>
    <row r="11" spans="1:11" ht="15.75">
      <c r="A11" s="85" t="s">
        <v>346</v>
      </c>
      <c r="B11" s="85">
        <v>17812</v>
      </c>
      <c r="C11" s="85">
        <v>2391</v>
      </c>
      <c r="D11" s="85">
        <v>91.5</v>
      </c>
      <c r="E11" s="86">
        <v>17037</v>
      </c>
      <c r="F11" s="86">
        <v>1782</v>
      </c>
      <c r="G11" s="100">
        <v>68.2</v>
      </c>
      <c r="H11" s="86">
        <v>17800</v>
      </c>
      <c r="I11" s="86">
        <v>1800</v>
      </c>
      <c r="J11" s="100">
        <v>68.900000000000006</v>
      </c>
      <c r="K11" s="86">
        <v>17500</v>
      </c>
    </row>
    <row r="12" spans="1:11" ht="15.75">
      <c r="A12" s="85" t="s">
        <v>347</v>
      </c>
      <c r="B12" s="85">
        <v>19100</v>
      </c>
      <c r="C12" s="85">
        <v>2185</v>
      </c>
      <c r="D12" s="85">
        <v>74.400000000000006</v>
      </c>
      <c r="E12" s="86">
        <v>19512</v>
      </c>
      <c r="F12" s="86">
        <v>1561</v>
      </c>
      <c r="G12" s="100">
        <v>65.2</v>
      </c>
      <c r="H12" s="86">
        <v>19104</v>
      </c>
      <c r="I12" s="86">
        <v>1800</v>
      </c>
      <c r="J12" s="100">
        <v>70</v>
      </c>
      <c r="K12" s="86">
        <v>19200</v>
      </c>
    </row>
    <row r="13" spans="1:11" ht="15.75">
      <c r="A13" s="87" t="s">
        <v>348</v>
      </c>
      <c r="B13" s="88">
        <f>B10+B11+B12</f>
        <v>46088</v>
      </c>
      <c r="C13" s="88">
        <f>C10+C11+C12</f>
        <v>5497</v>
      </c>
      <c r="D13" s="101">
        <f>D10+D11+D12</f>
        <v>198.5</v>
      </c>
      <c r="E13" s="88">
        <f>E10+E11+E12</f>
        <v>46625</v>
      </c>
      <c r="F13" s="88">
        <f t="shared" ref="F13:K13" si="0">F10+F11+F12</f>
        <v>4140</v>
      </c>
      <c r="G13" s="101">
        <f t="shared" si="0"/>
        <v>161.60000000000002</v>
      </c>
      <c r="H13" s="88">
        <f t="shared" si="0"/>
        <v>47104</v>
      </c>
      <c r="I13" s="88">
        <f t="shared" si="0"/>
        <v>4700</v>
      </c>
      <c r="J13" s="101">
        <f t="shared" si="0"/>
        <v>177.8</v>
      </c>
      <c r="K13" s="88">
        <f t="shared" si="0"/>
        <v>46680</v>
      </c>
    </row>
    <row r="14" spans="1:1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7"/>
  <sheetViews>
    <sheetView zoomScaleNormal="100" workbookViewId="0">
      <selection activeCell="G20" sqref="G20"/>
    </sheetView>
  </sheetViews>
  <sheetFormatPr defaultRowHeight="15"/>
  <cols>
    <col min="1" max="1" width="27.28515625" style="54" customWidth="1"/>
    <col min="2" max="2" width="5" style="54" customWidth="1"/>
    <col min="3" max="3" width="76" style="54" customWidth="1"/>
    <col min="4" max="256" width="9.140625" style="54"/>
    <col min="257" max="257" width="27.28515625" style="54" customWidth="1"/>
    <col min="258" max="258" width="5" style="54" customWidth="1"/>
    <col min="259" max="259" width="76" style="54" customWidth="1"/>
    <col min="260" max="512" width="9.140625" style="54"/>
    <col min="513" max="513" width="27.28515625" style="54" customWidth="1"/>
    <col min="514" max="514" width="5" style="54" customWidth="1"/>
    <col min="515" max="515" width="76" style="54" customWidth="1"/>
    <col min="516" max="768" width="9.140625" style="54"/>
    <col min="769" max="769" width="27.28515625" style="54" customWidth="1"/>
    <col min="770" max="770" width="5" style="54" customWidth="1"/>
    <col min="771" max="771" width="76" style="54" customWidth="1"/>
    <col min="772" max="1024" width="9.140625" style="54"/>
    <col min="1025" max="1025" width="27.28515625" style="54" customWidth="1"/>
    <col min="1026" max="1026" width="5" style="54" customWidth="1"/>
    <col min="1027" max="1027" width="76" style="54" customWidth="1"/>
    <col min="1028" max="1280" width="9.140625" style="54"/>
    <col min="1281" max="1281" width="27.28515625" style="54" customWidth="1"/>
    <col min="1282" max="1282" width="5" style="54" customWidth="1"/>
    <col min="1283" max="1283" width="76" style="54" customWidth="1"/>
    <col min="1284" max="1536" width="9.140625" style="54"/>
    <col min="1537" max="1537" width="27.28515625" style="54" customWidth="1"/>
    <col min="1538" max="1538" width="5" style="54" customWidth="1"/>
    <col min="1539" max="1539" width="76" style="54" customWidth="1"/>
    <col min="1540" max="1792" width="9.140625" style="54"/>
    <col min="1793" max="1793" width="27.28515625" style="54" customWidth="1"/>
    <col min="1794" max="1794" width="5" style="54" customWidth="1"/>
    <col min="1795" max="1795" width="76" style="54" customWidth="1"/>
    <col min="1796" max="2048" width="9.140625" style="54"/>
    <col min="2049" max="2049" width="27.28515625" style="54" customWidth="1"/>
    <col min="2050" max="2050" width="5" style="54" customWidth="1"/>
    <col min="2051" max="2051" width="76" style="54" customWidth="1"/>
    <col min="2052" max="2304" width="9.140625" style="54"/>
    <col min="2305" max="2305" width="27.28515625" style="54" customWidth="1"/>
    <col min="2306" max="2306" width="5" style="54" customWidth="1"/>
    <col min="2307" max="2307" width="76" style="54" customWidth="1"/>
    <col min="2308" max="2560" width="9.140625" style="54"/>
    <col min="2561" max="2561" width="27.28515625" style="54" customWidth="1"/>
    <col min="2562" max="2562" width="5" style="54" customWidth="1"/>
    <col min="2563" max="2563" width="76" style="54" customWidth="1"/>
    <col min="2564" max="2816" width="9.140625" style="54"/>
    <col min="2817" max="2817" width="27.28515625" style="54" customWidth="1"/>
    <col min="2818" max="2818" width="5" style="54" customWidth="1"/>
    <col min="2819" max="2819" width="76" style="54" customWidth="1"/>
    <col min="2820" max="3072" width="9.140625" style="54"/>
    <col min="3073" max="3073" width="27.28515625" style="54" customWidth="1"/>
    <col min="3074" max="3074" width="5" style="54" customWidth="1"/>
    <col min="3075" max="3075" width="76" style="54" customWidth="1"/>
    <col min="3076" max="3328" width="9.140625" style="54"/>
    <col min="3329" max="3329" width="27.28515625" style="54" customWidth="1"/>
    <col min="3330" max="3330" width="5" style="54" customWidth="1"/>
    <col min="3331" max="3331" width="76" style="54" customWidth="1"/>
    <col min="3332" max="3584" width="9.140625" style="54"/>
    <col min="3585" max="3585" width="27.28515625" style="54" customWidth="1"/>
    <col min="3586" max="3586" width="5" style="54" customWidth="1"/>
    <col min="3587" max="3587" width="76" style="54" customWidth="1"/>
    <col min="3588" max="3840" width="9.140625" style="54"/>
    <col min="3841" max="3841" width="27.28515625" style="54" customWidth="1"/>
    <col min="3842" max="3842" width="5" style="54" customWidth="1"/>
    <col min="3843" max="3843" width="76" style="54" customWidth="1"/>
    <col min="3844" max="4096" width="9.140625" style="54"/>
    <col min="4097" max="4097" width="27.28515625" style="54" customWidth="1"/>
    <col min="4098" max="4098" width="5" style="54" customWidth="1"/>
    <col min="4099" max="4099" width="76" style="54" customWidth="1"/>
    <col min="4100" max="4352" width="9.140625" style="54"/>
    <col min="4353" max="4353" width="27.28515625" style="54" customWidth="1"/>
    <col min="4354" max="4354" width="5" style="54" customWidth="1"/>
    <col min="4355" max="4355" width="76" style="54" customWidth="1"/>
    <col min="4356" max="4608" width="9.140625" style="54"/>
    <col min="4609" max="4609" width="27.28515625" style="54" customWidth="1"/>
    <col min="4610" max="4610" width="5" style="54" customWidth="1"/>
    <col min="4611" max="4611" width="76" style="54" customWidth="1"/>
    <col min="4612" max="4864" width="9.140625" style="54"/>
    <col min="4865" max="4865" width="27.28515625" style="54" customWidth="1"/>
    <col min="4866" max="4866" width="5" style="54" customWidth="1"/>
    <col min="4867" max="4867" width="76" style="54" customWidth="1"/>
    <col min="4868" max="5120" width="9.140625" style="54"/>
    <col min="5121" max="5121" width="27.28515625" style="54" customWidth="1"/>
    <col min="5122" max="5122" width="5" style="54" customWidth="1"/>
    <col min="5123" max="5123" width="76" style="54" customWidth="1"/>
    <col min="5124" max="5376" width="9.140625" style="54"/>
    <col min="5377" max="5377" width="27.28515625" style="54" customWidth="1"/>
    <col min="5378" max="5378" width="5" style="54" customWidth="1"/>
    <col min="5379" max="5379" width="76" style="54" customWidth="1"/>
    <col min="5380" max="5632" width="9.140625" style="54"/>
    <col min="5633" max="5633" width="27.28515625" style="54" customWidth="1"/>
    <col min="5634" max="5634" width="5" style="54" customWidth="1"/>
    <col min="5635" max="5635" width="76" style="54" customWidth="1"/>
    <col min="5636" max="5888" width="9.140625" style="54"/>
    <col min="5889" max="5889" width="27.28515625" style="54" customWidth="1"/>
    <col min="5890" max="5890" width="5" style="54" customWidth="1"/>
    <col min="5891" max="5891" width="76" style="54" customWidth="1"/>
    <col min="5892" max="6144" width="9.140625" style="54"/>
    <col min="6145" max="6145" width="27.28515625" style="54" customWidth="1"/>
    <col min="6146" max="6146" width="5" style="54" customWidth="1"/>
    <col min="6147" max="6147" width="76" style="54" customWidth="1"/>
    <col min="6148" max="6400" width="9.140625" style="54"/>
    <col min="6401" max="6401" width="27.28515625" style="54" customWidth="1"/>
    <col min="6402" max="6402" width="5" style="54" customWidth="1"/>
    <col min="6403" max="6403" width="76" style="54" customWidth="1"/>
    <col min="6404" max="6656" width="9.140625" style="54"/>
    <col min="6657" max="6657" width="27.28515625" style="54" customWidth="1"/>
    <col min="6658" max="6658" width="5" style="54" customWidth="1"/>
    <col min="6659" max="6659" width="76" style="54" customWidth="1"/>
    <col min="6660" max="6912" width="9.140625" style="54"/>
    <col min="6913" max="6913" width="27.28515625" style="54" customWidth="1"/>
    <col min="6914" max="6914" width="5" style="54" customWidth="1"/>
    <col min="6915" max="6915" width="76" style="54" customWidth="1"/>
    <col min="6916" max="7168" width="9.140625" style="54"/>
    <col min="7169" max="7169" width="27.28515625" style="54" customWidth="1"/>
    <col min="7170" max="7170" width="5" style="54" customWidth="1"/>
    <col min="7171" max="7171" width="76" style="54" customWidth="1"/>
    <col min="7172" max="7424" width="9.140625" style="54"/>
    <col min="7425" max="7425" width="27.28515625" style="54" customWidth="1"/>
    <col min="7426" max="7426" width="5" style="54" customWidth="1"/>
    <col min="7427" max="7427" width="76" style="54" customWidth="1"/>
    <col min="7428" max="7680" width="9.140625" style="54"/>
    <col min="7681" max="7681" width="27.28515625" style="54" customWidth="1"/>
    <col min="7682" max="7682" width="5" style="54" customWidth="1"/>
    <col min="7683" max="7683" width="76" style="54" customWidth="1"/>
    <col min="7684" max="7936" width="9.140625" style="54"/>
    <col min="7937" max="7937" width="27.28515625" style="54" customWidth="1"/>
    <col min="7938" max="7938" width="5" style="54" customWidth="1"/>
    <col min="7939" max="7939" width="76" style="54" customWidth="1"/>
    <col min="7940" max="8192" width="9.140625" style="54"/>
    <col min="8193" max="8193" width="27.28515625" style="54" customWidth="1"/>
    <col min="8194" max="8194" width="5" style="54" customWidth="1"/>
    <col min="8195" max="8195" width="76" style="54" customWidth="1"/>
    <col min="8196" max="8448" width="9.140625" style="54"/>
    <col min="8449" max="8449" width="27.28515625" style="54" customWidth="1"/>
    <col min="8450" max="8450" width="5" style="54" customWidth="1"/>
    <col min="8451" max="8451" width="76" style="54" customWidth="1"/>
    <col min="8452" max="8704" width="9.140625" style="54"/>
    <col min="8705" max="8705" width="27.28515625" style="54" customWidth="1"/>
    <col min="8706" max="8706" width="5" style="54" customWidth="1"/>
    <col min="8707" max="8707" width="76" style="54" customWidth="1"/>
    <col min="8708" max="8960" width="9.140625" style="54"/>
    <col min="8961" max="8961" width="27.28515625" style="54" customWidth="1"/>
    <col min="8962" max="8962" width="5" style="54" customWidth="1"/>
    <col min="8963" max="8963" width="76" style="54" customWidth="1"/>
    <col min="8964" max="9216" width="9.140625" style="54"/>
    <col min="9217" max="9217" width="27.28515625" style="54" customWidth="1"/>
    <col min="9218" max="9218" width="5" style="54" customWidth="1"/>
    <col min="9219" max="9219" width="76" style="54" customWidth="1"/>
    <col min="9220" max="9472" width="9.140625" style="54"/>
    <col min="9473" max="9473" width="27.28515625" style="54" customWidth="1"/>
    <col min="9474" max="9474" width="5" style="54" customWidth="1"/>
    <col min="9475" max="9475" width="76" style="54" customWidth="1"/>
    <col min="9476" max="9728" width="9.140625" style="54"/>
    <col min="9729" max="9729" width="27.28515625" style="54" customWidth="1"/>
    <col min="9730" max="9730" width="5" style="54" customWidth="1"/>
    <col min="9731" max="9731" width="76" style="54" customWidth="1"/>
    <col min="9732" max="9984" width="9.140625" style="54"/>
    <col min="9985" max="9985" width="27.28515625" style="54" customWidth="1"/>
    <col min="9986" max="9986" width="5" style="54" customWidth="1"/>
    <col min="9987" max="9987" width="76" style="54" customWidth="1"/>
    <col min="9988" max="10240" width="9.140625" style="54"/>
    <col min="10241" max="10241" width="27.28515625" style="54" customWidth="1"/>
    <col min="10242" max="10242" width="5" style="54" customWidth="1"/>
    <col min="10243" max="10243" width="76" style="54" customWidth="1"/>
    <col min="10244" max="10496" width="9.140625" style="54"/>
    <col min="10497" max="10497" width="27.28515625" style="54" customWidth="1"/>
    <col min="10498" max="10498" width="5" style="54" customWidth="1"/>
    <col min="10499" max="10499" width="76" style="54" customWidth="1"/>
    <col min="10500" max="10752" width="9.140625" style="54"/>
    <col min="10753" max="10753" width="27.28515625" style="54" customWidth="1"/>
    <col min="10754" max="10754" width="5" style="54" customWidth="1"/>
    <col min="10755" max="10755" width="76" style="54" customWidth="1"/>
    <col min="10756" max="11008" width="9.140625" style="54"/>
    <col min="11009" max="11009" width="27.28515625" style="54" customWidth="1"/>
    <col min="11010" max="11010" width="5" style="54" customWidth="1"/>
    <col min="11011" max="11011" width="76" style="54" customWidth="1"/>
    <col min="11012" max="11264" width="9.140625" style="54"/>
    <col min="11265" max="11265" width="27.28515625" style="54" customWidth="1"/>
    <col min="11266" max="11266" width="5" style="54" customWidth="1"/>
    <col min="11267" max="11267" width="76" style="54" customWidth="1"/>
    <col min="11268" max="11520" width="9.140625" style="54"/>
    <col min="11521" max="11521" width="27.28515625" style="54" customWidth="1"/>
    <col min="11522" max="11522" width="5" style="54" customWidth="1"/>
    <col min="11523" max="11523" width="76" style="54" customWidth="1"/>
    <col min="11524" max="11776" width="9.140625" style="54"/>
    <col min="11777" max="11777" width="27.28515625" style="54" customWidth="1"/>
    <col min="11778" max="11778" width="5" style="54" customWidth="1"/>
    <col min="11779" max="11779" width="76" style="54" customWidth="1"/>
    <col min="11780" max="12032" width="9.140625" style="54"/>
    <col min="12033" max="12033" width="27.28515625" style="54" customWidth="1"/>
    <col min="12034" max="12034" width="5" style="54" customWidth="1"/>
    <col min="12035" max="12035" width="76" style="54" customWidth="1"/>
    <col min="12036" max="12288" width="9.140625" style="54"/>
    <col min="12289" max="12289" width="27.28515625" style="54" customWidth="1"/>
    <col min="12290" max="12290" width="5" style="54" customWidth="1"/>
    <col min="12291" max="12291" width="76" style="54" customWidth="1"/>
    <col min="12292" max="12544" width="9.140625" style="54"/>
    <col min="12545" max="12545" width="27.28515625" style="54" customWidth="1"/>
    <col min="12546" max="12546" width="5" style="54" customWidth="1"/>
    <col min="12547" max="12547" width="76" style="54" customWidth="1"/>
    <col min="12548" max="12800" width="9.140625" style="54"/>
    <col min="12801" max="12801" width="27.28515625" style="54" customWidth="1"/>
    <col min="12802" max="12802" width="5" style="54" customWidth="1"/>
    <col min="12803" max="12803" width="76" style="54" customWidth="1"/>
    <col min="12804" max="13056" width="9.140625" style="54"/>
    <col min="13057" max="13057" width="27.28515625" style="54" customWidth="1"/>
    <col min="13058" max="13058" width="5" style="54" customWidth="1"/>
    <col min="13059" max="13059" width="76" style="54" customWidth="1"/>
    <col min="13060" max="13312" width="9.140625" style="54"/>
    <col min="13313" max="13313" width="27.28515625" style="54" customWidth="1"/>
    <col min="13314" max="13314" width="5" style="54" customWidth="1"/>
    <col min="13315" max="13315" width="76" style="54" customWidth="1"/>
    <col min="13316" max="13568" width="9.140625" style="54"/>
    <col min="13569" max="13569" width="27.28515625" style="54" customWidth="1"/>
    <col min="13570" max="13570" width="5" style="54" customWidth="1"/>
    <col min="13571" max="13571" width="76" style="54" customWidth="1"/>
    <col min="13572" max="13824" width="9.140625" style="54"/>
    <col min="13825" max="13825" width="27.28515625" style="54" customWidth="1"/>
    <col min="13826" max="13826" width="5" style="54" customWidth="1"/>
    <col min="13827" max="13827" width="76" style="54" customWidth="1"/>
    <col min="13828" max="14080" width="9.140625" style="54"/>
    <col min="14081" max="14081" width="27.28515625" style="54" customWidth="1"/>
    <col min="14082" max="14082" width="5" style="54" customWidth="1"/>
    <col min="14083" max="14083" width="76" style="54" customWidth="1"/>
    <col min="14084" max="14336" width="9.140625" style="54"/>
    <col min="14337" max="14337" width="27.28515625" style="54" customWidth="1"/>
    <col min="14338" max="14338" width="5" style="54" customWidth="1"/>
    <col min="14339" max="14339" width="76" style="54" customWidth="1"/>
    <col min="14340" max="14592" width="9.140625" style="54"/>
    <col min="14593" max="14593" width="27.28515625" style="54" customWidth="1"/>
    <col min="14594" max="14594" width="5" style="54" customWidth="1"/>
    <col min="14595" max="14595" width="76" style="54" customWidth="1"/>
    <col min="14596" max="14848" width="9.140625" style="54"/>
    <col min="14849" max="14849" width="27.28515625" style="54" customWidth="1"/>
    <col min="14850" max="14850" width="5" style="54" customWidth="1"/>
    <col min="14851" max="14851" width="76" style="54" customWidth="1"/>
    <col min="14852" max="15104" width="9.140625" style="54"/>
    <col min="15105" max="15105" width="27.28515625" style="54" customWidth="1"/>
    <col min="15106" max="15106" width="5" style="54" customWidth="1"/>
    <col min="15107" max="15107" width="76" style="54" customWidth="1"/>
    <col min="15108" max="15360" width="9.140625" style="54"/>
    <col min="15361" max="15361" width="27.28515625" style="54" customWidth="1"/>
    <col min="15362" max="15362" width="5" style="54" customWidth="1"/>
    <col min="15363" max="15363" width="76" style="54" customWidth="1"/>
    <col min="15364" max="15616" width="9.140625" style="54"/>
    <col min="15617" max="15617" width="27.28515625" style="54" customWidth="1"/>
    <col min="15618" max="15618" width="5" style="54" customWidth="1"/>
    <col min="15619" max="15619" width="76" style="54" customWidth="1"/>
    <col min="15620" max="15872" width="9.140625" style="54"/>
    <col min="15873" max="15873" width="27.28515625" style="54" customWidth="1"/>
    <col min="15874" max="15874" width="5" style="54" customWidth="1"/>
    <col min="15875" max="15875" width="76" style="54" customWidth="1"/>
    <col min="15876" max="16128" width="9.140625" style="54"/>
    <col min="16129" max="16129" width="27.28515625" style="54" customWidth="1"/>
    <col min="16130" max="16130" width="5" style="54" customWidth="1"/>
    <col min="16131" max="16131" width="76" style="54" customWidth="1"/>
    <col min="16132" max="16384" width="9.140625" style="54"/>
  </cols>
  <sheetData>
    <row r="1" spans="1:3">
      <c r="A1" s="89"/>
      <c r="C1" s="106" t="s">
        <v>349</v>
      </c>
    </row>
    <row r="2" spans="1:3" ht="24">
      <c r="A2" s="89"/>
      <c r="C2" s="107" t="s">
        <v>505</v>
      </c>
    </row>
    <row r="3" spans="1:3" ht="15.75">
      <c r="A3" s="90"/>
      <c r="B3" s="89"/>
    </row>
    <row r="4" spans="1:3" ht="18.75">
      <c r="A4" s="472" t="s">
        <v>350</v>
      </c>
      <c r="B4" s="472"/>
      <c r="C4" s="472"/>
    </row>
    <row r="5" spans="1:3" ht="18.75">
      <c r="A5" s="472" t="s">
        <v>520</v>
      </c>
      <c r="B5" s="472"/>
      <c r="C5" s="472"/>
    </row>
    <row r="6" spans="1:3" ht="18.75">
      <c r="A6" s="472" t="s">
        <v>521</v>
      </c>
      <c r="B6" s="472"/>
      <c r="C6" s="472"/>
    </row>
    <row r="7" spans="1:3" ht="15.75">
      <c r="A7" s="91"/>
      <c r="B7" s="91"/>
    </row>
    <row r="8" spans="1:3" ht="31.5">
      <c r="A8" s="110" t="s">
        <v>351</v>
      </c>
      <c r="B8" s="110" t="s">
        <v>314</v>
      </c>
      <c r="C8" s="110" t="s">
        <v>352</v>
      </c>
    </row>
    <row r="9" spans="1:3" ht="15.75">
      <c r="A9" s="471" t="s">
        <v>353</v>
      </c>
      <c r="B9" s="110">
        <v>1</v>
      </c>
      <c r="C9" s="92" t="s">
        <v>368</v>
      </c>
    </row>
    <row r="10" spans="1:3" ht="15.75">
      <c r="A10" s="471"/>
      <c r="B10" s="110">
        <v>2</v>
      </c>
      <c r="C10" s="93" t="s">
        <v>369</v>
      </c>
    </row>
    <row r="11" spans="1:3" ht="15.75">
      <c r="A11" s="471"/>
      <c r="B11" s="110">
        <v>3</v>
      </c>
      <c r="C11" s="93" t="s">
        <v>370</v>
      </c>
    </row>
    <row r="12" spans="1:3" ht="15.75">
      <c r="A12" s="471"/>
      <c r="B12" s="110">
        <v>4</v>
      </c>
      <c r="C12" s="93" t="s">
        <v>371</v>
      </c>
    </row>
    <row r="13" spans="1:3" ht="15.75">
      <c r="A13" s="471"/>
      <c r="B13" s="110">
        <v>5</v>
      </c>
      <c r="C13" s="93" t="s">
        <v>372</v>
      </c>
    </row>
    <row r="14" spans="1:3" ht="15.75">
      <c r="A14" s="471"/>
      <c r="B14" s="110">
        <v>6</v>
      </c>
      <c r="C14" s="93" t="s">
        <v>373</v>
      </c>
    </row>
    <row r="15" spans="1:3" ht="15.75">
      <c r="A15" s="471"/>
      <c r="B15" s="110">
        <v>7</v>
      </c>
      <c r="C15" s="93" t="s">
        <v>374</v>
      </c>
    </row>
    <row r="16" spans="1:3" ht="15.75">
      <c r="A16" s="471"/>
      <c r="B16" s="110">
        <v>8</v>
      </c>
      <c r="C16" s="93" t="s">
        <v>375</v>
      </c>
    </row>
    <row r="17" spans="1:3" ht="15.75">
      <c r="A17" s="471"/>
      <c r="B17" s="110">
        <v>9</v>
      </c>
      <c r="C17" s="93" t="s">
        <v>376</v>
      </c>
    </row>
    <row r="18" spans="1:3" ht="15.75">
      <c r="A18" s="471"/>
      <c r="B18" s="110">
        <v>10</v>
      </c>
      <c r="C18" s="93" t="s">
        <v>377</v>
      </c>
    </row>
    <row r="19" spans="1:3" ht="15.75">
      <c r="A19" s="471"/>
      <c r="B19" s="110">
        <v>11</v>
      </c>
      <c r="C19" s="93" t="s">
        <v>378</v>
      </c>
    </row>
    <row r="20" spans="1:3" ht="18.75">
      <c r="A20" s="471"/>
      <c r="B20" s="110">
        <v>12</v>
      </c>
      <c r="C20" s="93" t="s">
        <v>379</v>
      </c>
    </row>
    <row r="21" spans="1:3" ht="15.75">
      <c r="A21" s="471"/>
      <c r="B21" s="110">
        <v>13</v>
      </c>
      <c r="C21" s="93" t="s">
        <v>380</v>
      </c>
    </row>
    <row r="22" spans="1:3" ht="15.75">
      <c r="A22" s="471"/>
      <c r="B22" s="110">
        <v>14</v>
      </c>
      <c r="C22" s="93" t="s">
        <v>381</v>
      </c>
    </row>
    <row r="23" spans="1:3" ht="15.75">
      <c r="A23" s="471"/>
      <c r="B23" s="110">
        <v>15</v>
      </c>
      <c r="C23" s="93" t="s">
        <v>522</v>
      </c>
    </row>
    <row r="24" spans="1:3" ht="15.75">
      <c r="A24" s="471"/>
      <c r="B24" s="110">
        <v>16</v>
      </c>
      <c r="C24" s="93" t="s">
        <v>523</v>
      </c>
    </row>
    <row r="25" spans="1:3" ht="15.75">
      <c r="A25" s="471" t="s">
        <v>354</v>
      </c>
      <c r="B25" s="110">
        <v>1</v>
      </c>
      <c r="C25" s="93" t="s">
        <v>370</v>
      </c>
    </row>
    <row r="26" spans="1:3" ht="15.75">
      <c r="A26" s="471"/>
      <c r="B26" s="110">
        <v>2</v>
      </c>
      <c r="C26" s="93" t="s">
        <v>382</v>
      </c>
    </row>
    <row r="27" spans="1:3" ht="18.75">
      <c r="A27" s="471"/>
      <c r="B27" s="110">
        <v>3</v>
      </c>
      <c r="C27" s="93" t="s">
        <v>383</v>
      </c>
    </row>
    <row r="28" spans="1:3" ht="15.75">
      <c r="A28" s="471"/>
      <c r="B28" s="110">
        <v>4</v>
      </c>
      <c r="C28" s="93" t="s">
        <v>384</v>
      </c>
    </row>
    <row r="29" spans="1:3" ht="18.75">
      <c r="A29" s="471"/>
      <c r="B29" s="110">
        <v>5</v>
      </c>
      <c r="C29" s="93" t="s">
        <v>385</v>
      </c>
    </row>
    <row r="30" spans="1:3" ht="18.75">
      <c r="A30" s="471"/>
      <c r="B30" s="110">
        <v>6</v>
      </c>
      <c r="C30" s="93" t="s">
        <v>386</v>
      </c>
    </row>
    <row r="31" spans="1:3" ht="15.75">
      <c r="A31" s="471"/>
      <c r="B31" s="110">
        <v>7</v>
      </c>
      <c r="C31" s="93" t="s">
        <v>387</v>
      </c>
    </row>
    <row r="32" spans="1:3" ht="15.75">
      <c r="A32" s="471"/>
      <c r="B32" s="110">
        <v>8</v>
      </c>
      <c r="C32" s="93" t="s">
        <v>388</v>
      </c>
    </row>
    <row r="33" spans="1:3" ht="18.75">
      <c r="A33" s="471"/>
      <c r="B33" s="110">
        <v>9</v>
      </c>
      <c r="C33" s="93" t="s">
        <v>389</v>
      </c>
    </row>
    <row r="34" spans="1:3" ht="15.75">
      <c r="A34" s="471"/>
      <c r="B34" s="110">
        <v>10</v>
      </c>
      <c r="C34" s="93" t="s">
        <v>390</v>
      </c>
    </row>
    <row r="35" spans="1:3" ht="15.75">
      <c r="A35" s="471"/>
      <c r="B35" s="110">
        <v>11</v>
      </c>
      <c r="C35" s="387" t="s">
        <v>524</v>
      </c>
    </row>
    <row r="36" spans="1:3" ht="15.75">
      <c r="A36" s="471" t="s">
        <v>355</v>
      </c>
      <c r="B36" s="110">
        <v>1</v>
      </c>
      <c r="C36" s="94" t="s">
        <v>370</v>
      </c>
    </row>
    <row r="37" spans="1:3" ht="15.75">
      <c r="A37" s="471"/>
      <c r="B37" s="110">
        <v>2</v>
      </c>
      <c r="C37" s="94" t="s">
        <v>393</v>
      </c>
    </row>
    <row r="38" spans="1:3" ht="15.75">
      <c r="A38" s="471"/>
      <c r="B38" s="110">
        <v>3</v>
      </c>
      <c r="C38" s="94" t="s">
        <v>394</v>
      </c>
    </row>
    <row r="39" spans="1:3" ht="15.75">
      <c r="A39" s="471"/>
      <c r="B39" s="110">
        <v>4</v>
      </c>
      <c r="C39" s="94" t="s">
        <v>525</v>
      </c>
    </row>
    <row r="40" spans="1:3" ht="15.75">
      <c r="A40" s="471"/>
      <c r="B40" s="110">
        <v>5</v>
      </c>
      <c r="C40" s="94" t="s">
        <v>395</v>
      </c>
    </row>
    <row r="41" spans="1:3" ht="18.75">
      <c r="A41" s="471"/>
      <c r="B41" s="110">
        <v>6</v>
      </c>
      <c r="C41" s="94" t="s">
        <v>396</v>
      </c>
    </row>
    <row r="42" spans="1:3" ht="15.75">
      <c r="A42" s="471"/>
      <c r="B42" s="110">
        <v>7</v>
      </c>
      <c r="C42" s="94" t="s">
        <v>397</v>
      </c>
    </row>
    <row r="43" spans="1:3" ht="31.5">
      <c r="A43" s="471"/>
      <c r="B43" s="110">
        <v>8</v>
      </c>
      <c r="C43" s="94" t="s">
        <v>526</v>
      </c>
    </row>
    <row r="44" spans="1:3" ht="15.75">
      <c r="A44" s="471"/>
      <c r="B44" s="110">
        <v>9</v>
      </c>
      <c r="C44" s="94" t="s">
        <v>524</v>
      </c>
    </row>
    <row r="45" spans="1:3" ht="15.75">
      <c r="A45" s="471" t="s">
        <v>356</v>
      </c>
      <c r="B45" s="110">
        <v>1</v>
      </c>
      <c r="C45" s="93" t="s">
        <v>527</v>
      </c>
    </row>
    <row r="46" spans="1:3" ht="18.75">
      <c r="A46" s="471"/>
      <c r="B46" s="110">
        <v>2</v>
      </c>
      <c r="C46" s="93" t="s">
        <v>398</v>
      </c>
    </row>
    <row r="47" spans="1:3" ht="15.75">
      <c r="A47" s="471"/>
      <c r="B47" s="110">
        <v>3</v>
      </c>
      <c r="C47" s="93" t="s">
        <v>528</v>
      </c>
    </row>
    <row r="48" spans="1:3" ht="15.75">
      <c r="A48" s="471"/>
      <c r="B48" s="110">
        <v>4</v>
      </c>
      <c r="C48" s="93" t="s">
        <v>400</v>
      </c>
    </row>
    <row r="49" spans="1:3" ht="15.75">
      <c r="A49" s="471"/>
      <c r="B49" s="110">
        <v>5</v>
      </c>
      <c r="C49" s="93" t="s">
        <v>401</v>
      </c>
    </row>
    <row r="50" spans="1:3" ht="18.75">
      <c r="A50" s="471"/>
      <c r="B50" s="110">
        <v>6</v>
      </c>
      <c r="C50" s="93" t="s">
        <v>402</v>
      </c>
    </row>
    <row r="51" spans="1:3" ht="15.75">
      <c r="A51" s="471"/>
      <c r="B51" s="110">
        <v>7</v>
      </c>
      <c r="C51" s="93" t="s">
        <v>403</v>
      </c>
    </row>
    <row r="52" spans="1:3" ht="18.75">
      <c r="A52" s="471"/>
      <c r="B52" s="110">
        <v>8</v>
      </c>
      <c r="C52" s="93" t="s">
        <v>404</v>
      </c>
    </row>
    <row r="53" spans="1:3" ht="15.75">
      <c r="A53" s="471"/>
      <c r="B53" s="110">
        <v>9</v>
      </c>
      <c r="C53" s="93" t="s">
        <v>384</v>
      </c>
    </row>
    <row r="54" spans="1:3" ht="18.75">
      <c r="A54" s="471"/>
      <c r="B54" s="110">
        <v>10</v>
      </c>
      <c r="C54" s="93" t="s">
        <v>405</v>
      </c>
    </row>
    <row r="55" spans="1:3" ht="15.75">
      <c r="A55" s="471"/>
      <c r="B55" s="110">
        <v>11</v>
      </c>
      <c r="C55" s="388" t="s">
        <v>529</v>
      </c>
    </row>
    <row r="56" spans="1:3" ht="15.75">
      <c r="A56" s="471"/>
      <c r="B56" s="110">
        <v>12</v>
      </c>
      <c r="C56" s="388" t="s">
        <v>530</v>
      </c>
    </row>
    <row r="57" spans="1:3" ht="31.5">
      <c r="A57" s="471"/>
      <c r="B57" s="110">
        <v>13</v>
      </c>
      <c r="C57" s="388" t="s">
        <v>531</v>
      </c>
    </row>
    <row r="58" spans="1:3" ht="15.75">
      <c r="A58" s="471"/>
      <c r="B58" s="110">
        <v>14</v>
      </c>
      <c r="C58" s="388" t="s">
        <v>524</v>
      </c>
    </row>
    <row r="59" spans="1:3" ht="15.75">
      <c r="A59" s="471" t="s">
        <v>357</v>
      </c>
      <c r="B59" s="110">
        <v>1</v>
      </c>
      <c r="C59" s="94" t="s">
        <v>406</v>
      </c>
    </row>
    <row r="60" spans="1:3" ht="15.75">
      <c r="A60" s="471"/>
      <c r="B60" s="110">
        <v>2</v>
      </c>
      <c r="C60" s="94" t="s">
        <v>407</v>
      </c>
    </row>
    <row r="61" spans="1:3" ht="15.75">
      <c r="A61" s="471"/>
      <c r="B61" s="110">
        <v>3</v>
      </c>
      <c r="C61" s="94" t="s">
        <v>384</v>
      </c>
    </row>
    <row r="62" spans="1:3" ht="18.75">
      <c r="A62" s="471"/>
      <c r="B62" s="110">
        <v>4</v>
      </c>
      <c r="C62" s="94" t="s">
        <v>392</v>
      </c>
    </row>
    <row r="63" spans="1:3" ht="15.75">
      <c r="A63" s="471"/>
      <c r="B63" s="110">
        <v>5</v>
      </c>
      <c r="C63" s="94" t="s">
        <v>532</v>
      </c>
    </row>
    <row r="64" spans="1:3" ht="18.75">
      <c r="A64" s="471" t="s">
        <v>358</v>
      </c>
      <c r="B64" s="110">
        <v>1</v>
      </c>
      <c r="C64" s="94" t="s">
        <v>408</v>
      </c>
    </row>
    <row r="65" spans="1:3" ht="15.75">
      <c r="A65" s="471"/>
      <c r="B65" s="110">
        <v>2</v>
      </c>
      <c r="C65" s="94" t="s">
        <v>409</v>
      </c>
    </row>
    <row r="66" spans="1:3" ht="31.5">
      <c r="A66" s="471"/>
      <c r="B66" s="110">
        <v>3</v>
      </c>
      <c r="C66" s="94" t="s">
        <v>410</v>
      </c>
    </row>
    <row r="67" spans="1:3" ht="15.75">
      <c r="A67" s="471"/>
      <c r="B67" s="110">
        <v>4</v>
      </c>
      <c r="C67" s="94" t="s">
        <v>533</v>
      </c>
    </row>
    <row r="68" spans="1:3" ht="15.75">
      <c r="A68" s="471"/>
      <c r="B68" s="110">
        <v>5</v>
      </c>
      <c r="C68" s="94" t="s">
        <v>411</v>
      </c>
    </row>
    <row r="69" spans="1:3" ht="15.75">
      <c r="A69" s="471"/>
      <c r="B69" s="110">
        <v>6</v>
      </c>
      <c r="C69" s="94" t="s">
        <v>391</v>
      </c>
    </row>
    <row r="70" spans="1:3" ht="15.75">
      <c r="A70" s="471"/>
      <c r="B70" s="110">
        <v>7</v>
      </c>
      <c r="C70" s="94" t="s">
        <v>412</v>
      </c>
    </row>
    <row r="71" spans="1:3" ht="15.75">
      <c r="A71" s="471" t="s">
        <v>359</v>
      </c>
      <c r="B71" s="110">
        <v>1</v>
      </c>
      <c r="C71" s="94" t="s">
        <v>399</v>
      </c>
    </row>
    <row r="72" spans="1:3" ht="15.75">
      <c r="A72" s="471"/>
      <c r="B72" s="110">
        <v>2</v>
      </c>
      <c r="C72" s="94" t="s">
        <v>413</v>
      </c>
    </row>
    <row r="73" spans="1:3" ht="15.75">
      <c r="A73" s="471"/>
      <c r="B73" s="110">
        <v>3</v>
      </c>
      <c r="C73" s="94" t="s">
        <v>414</v>
      </c>
    </row>
    <row r="74" spans="1:3" ht="15.75">
      <c r="A74" s="471"/>
      <c r="B74" s="110">
        <v>4</v>
      </c>
      <c r="C74" s="94" t="s">
        <v>415</v>
      </c>
    </row>
    <row r="75" spans="1:3" ht="18.75">
      <c r="A75" s="471"/>
      <c r="B75" s="110">
        <v>5</v>
      </c>
      <c r="C75" s="94" t="s">
        <v>416</v>
      </c>
    </row>
    <row r="76" spans="1:3" ht="15.75">
      <c r="A76" s="471"/>
      <c r="B76" s="110">
        <v>6</v>
      </c>
      <c r="C76" s="94" t="s">
        <v>417</v>
      </c>
    </row>
    <row r="77" spans="1:3" ht="15.75">
      <c r="A77" s="471"/>
      <c r="B77" s="389">
        <v>7</v>
      </c>
      <c r="C77" s="390" t="s">
        <v>524</v>
      </c>
    </row>
  </sheetData>
  <mergeCells count="10">
    <mergeCell ref="A45:A58"/>
    <mergeCell ref="A59:A63"/>
    <mergeCell ref="A64:A70"/>
    <mergeCell ref="A71:A77"/>
    <mergeCell ref="A4:C4"/>
    <mergeCell ref="A5:C5"/>
    <mergeCell ref="A6:C6"/>
    <mergeCell ref="A9:A24"/>
    <mergeCell ref="A25:A35"/>
    <mergeCell ref="A36:A44"/>
  </mergeCells>
  <pageMargins left="0.70866141732283472" right="0.11811023622047245" top="0.74803149606299213" bottom="0.35433070866141736" header="0" footer="0"/>
  <pageSetup paperSize="9" scale="88" fitToHeight="2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2019-2021</vt:lpstr>
      <vt:lpstr>№ 1 производ. продукции</vt:lpstr>
      <vt:lpstr>№ 2 Хлеб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2019-2021'!Область_печати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2019-12-19T23:33:44Z</dcterms:modified>
</cp:coreProperties>
</file>